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Simple Model w-iTunes" sheetId="10" r:id="rId1"/>
    <sheet name="Data" sheetId="1" r:id="rId2"/>
    <sheet name="Data_STS" sheetId="15" state="veryHidden" r:id="rId3"/>
    <sheet name="Simple Model w-iTunes_STS" sheetId="12" state="veryHidden" r:id="rId4"/>
    <sheet name="STS_1" sheetId="16" r:id="rId5"/>
  </sheets>
  <definedNames>
    <definedName name="ChartData" localSheetId="4">STS_1!$K$5:$K$95</definedName>
    <definedName name="InputValues" localSheetId="4">STS_1!$A$5:$A$95</definedName>
    <definedName name="OutputAddresses" localSheetId="4">STS_1!$B$4</definedName>
    <definedName name="OutputValues" localSheetId="4">STS_1!$B$5:$B$95</definedName>
    <definedName name="solver_adj" localSheetId="0" hidden="1">'Simple Model w-iTunes'!$D$4:$H$4,'Simple Model w-iTunes'!$I$8:$I$19,'Simple Model w-iTunes'!$I$22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'Simple Model w-iTunes'!$C$26</definedName>
    <definedName name="solver_lhs2" localSheetId="0" hidden="1">'Simple Model w-iTunes'!$D$4:$H$4</definedName>
    <definedName name="solver_lhs3" localSheetId="0" hidden="1">'Simple Model w-iTunes'!$I$22</definedName>
    <definedName name="solver_lhs4" localSheetId="0" hidden="1">'Simple Model w-iTunes'!$I$8:$I$19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'Simple Model w-iTunes'!$L$25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5</definedName>
    <definedName name="solver_rel3" localSheetId="0" hidden="1">5</definedName>
    <definedName name="solver_rel4" localSheetId="0" hidden="1">5</definedName>
    <definedName name="solver_rhs1" localSheetId="0" hidden="1">'Simple Model w-iTunes'!$C$28</definedName>
    <definedName name="solver_rhs2" localSheetId="0" hidden="1">binary</definedName>
    <definedName name="solver_rhs3" localSheetId="0" hidden="1">binary</definedName>
    <definedName name="solver_rhs4" localSheetId="0" hidden="1">binary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K1" i="16" l="1"/>
  <c r="K95" i="16"/>
  <c r="K94" i="16"/>
  <c r="K93" i="16"/>
  <c r="K92" i="16"/>
  <c r="K91" i="16"/>
  <c r="K90" i="16"/>
  <c r="K89" i="16"/>
  <c r="K88" i="16"/>
  <c r="K87" i="16"/>
  <c r="K86" i="16"/>
  <c r="K85" i="16"/>
  <c r="K84" i="16"/>
  <c r="K83" i="16"/>
  <c r="K82" i="16"/>
  <c r="K81" i="16"/>
  <c r="K80" i="16"/>
  <c r="K79" i="16"/>
  <c r="K78" i="16"/>
  <c r="K77" i="16"/>
  <c r="K76" i="16"/>
  <c r="K75" i="16"/>
  <c r="K74" i="16"/>
  <c r="K73" i="16"/>
  <c r="K72" i="16"/>
  <c r="K71" i="16"/>
  <c r="K70" i="16"/>
  <c r="K69" i="16"/>
  <c r="K68" i="16"/>
  <c r="K67" i="16"/>
  <c r="K66" i="16"/>
  <c r="K65" i="16"/>
  <c r="K64" i="16"/>
  <c r="K63" i="16"/>
  <c r="K62" i="16"/>
  <c r="K61" i="16"/>
  <c r="K60" i="16"/>
  <c r="K59" i="16"/>
  <c r="K58" i="16"/>
  <c r="K57" i="16"/>
  <c r="K56" i="16"/>
  <c r="K55" i="16"/>
  <c r="K54" i="16"/>
  <c r="K53" i="16"/>
  <c r="K52" i="16"/>
  <c r="K51" i="16"/>
  <c r="K50" i="16"/>
  <c r="K49" i="16"/>
  <c r="K48" i="16"/>
  <c r="K47" i="16"/>
  <c r="K46" i="16"/>
  <c r="K45" i="16"/>
  <c r="K44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J4" i="16"/>
  <c r="K4" i="10"/>
  <c r="D2" i="10"/>
  <c r="E2" i="10"/>
  <c r="F2" i="10"/>
  <c r="G2" i="10"/>
  <c r="I25" i="10"/>
  <c r="H2" i="10"/>
  <c r="E25" i="10"/>
  <c r="A8" i="10"/>
  <c r="A9" i="10"/>
  <c r="A10" i="10"/>
  <c r="A11" i="10"/>
  <c r="A12" i="10"/>
  <c r="A13" i="10"/>
  <c r="D25" i="10"/>
  <c r="F25" i="10"/>
  <c r="G25" i="10"/>
  <c r="H25" i="10"/>
  <c r="E8" i="10"/>
  <c r="F8" i="10"/>
  <c r="G8" i="10"/>
  <c r="H8" i="10"/>
  <c r="E9" i="10"/>
  <c r="F9" i="10"/>
  <c r="G9" i="10"/>
  <c r="H9" i="10"/>
  <c r="E10" i="10"/>
  <c r="F10" i="10"/>
  <c r="G10" i="10"/>
  <c r="H10" i="10"/>
  <c r="E11" i="10"/>
  <c r="F11" i="10"/>
  <c r="G11" i="10"/>
  <c r="H11" i="10"/>
  <c r="E12" i="10"/>
  <c r="F12" i="10"/>
  <c r="G12" i="10"/>
  <c r="H12" i="10"/>
  <c r="E13" i="10"/>
  <c r="F13" i="10"/>
  <c r="G13" i="10"/>
  <c r="H13" i="10"/>
  <c r="E14" i="10"/>
  <c r="F14" i="10"/>
  <c r="G14" i="10"/>
  <c r="H14" i="10"/>
  <c r="E15" i="10"/>
  <c r="F15" i="10"/>
  <c r="G15" i="10"/>
  <c r="H15" i="10"/>
  <c r="E16" i="10"/>
  <c r="F16" i="10"/>
  <c r="G16" i="10"/>
  <c r="H16" i="10"/>
  <c r="E17" i="10"/>
  <c r="F17" i="10"/>
  <c r="G17" i="10"/>
  <c r="H17" i="10"/>
  <c r="E18" i="10"/>
  <c r="F18" i="10"/>
  <c r="G18" i="10"/>
  <c r="H18" i="10"/>
  <c r="E19" i="10"/>
  <c r="F19" i="10"/>
  <c r="G19" i="10"/>
  <c r="H19" i="10"/>
  <c r="E20" i="10"/>
  <c r="F20" i="10"/>
  <c r="G20" i="10"/>
  <c r="H20" i="10"/>
  <c r="E21" i="10"/>
  <c r="F21" i="10"/>
  <c r="G21" i="10"/>
  <c r="H21" i="10"/>
  <c r="E22" i="10"/>
  <c r="F22" i="10"/>
  <c r="G22" i="10"/>
  <c r="H22" i="10"/>
  <c r="E23" i="10"/>
  <c r="F23" i="10"/>
  <c r="G23" i="10"/>
  <c r="H23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8" i="10"/>
  <c r="C26" i="10"/>
  <c r="A14" i="10"/>
  <c r="A15" i="10"/>
  <c r="A16" i="10"/>
  <c r="K17" i="10"/>
  <c r="L17" i="10"/>
  <c r="K12" i="10"/>
  <c r="L12" i="10"/>
  <c r="K21" i="10"/>
  <c r="L21" i="10"/>
  <c r="K16" i="10"/>
  <c r="L16" i="10"/>
  <c r="K22" i="10"/>
  <c r="L22" i="10"/>
  <c r="K18" i="10"/>
  <c r="L18" i="10"/>
  <c r="K13" i="10"/>
  <c r="L13" i="10"/>
  <c r="K9" i="10"/>
  <c r="L9" i="10"/>
  <c r="K8" i="10"/>
  <c r="L8" i="10"/>
  <c r="K15" i="10"/>
  <c r="L15" i="10"/>
  <c r="K11" i="10"/>
  <c r="L11" i="10"/>
  <c r="K20" i="10"/>
  <c r="L20" i="10"/>
  <c r="K23" i="10"/>
  <c r="L23" i="10"/>
  <c r="K19" i="10"/>
  <c r="L19" i="10"/>
  <c r="K14" i="10"/>
  <c r="L14" i="10"/>
  <c r="K10" i="10"/>
  <c r="L10" i="10"/>
  <c r="L25" i="10"/>
  <c r="A17" i="10"/>
  <c r="A18" i="10"/>
  <c r="A19" i="10"/>
  <c r="A20" i="10"/>
  <c r="A21" i="10"/>
  <c r="A22" i="10"/>
  <c r="A23" i="10"/>
  <c r="N23" i="10"/>
  <c r="N21" i="10"/>
  <c r="N16" i="10"/>
  <c r="N18" i="10"/>
  <c r="N19" i="10"/>
  <c r="N11" i="10"/>
  <c r="N13" i="10"/>
  <c r="N9" i="10"/>
  <c r="N15" i="10"/>
  <c r="N22" i="10"/>
  <c r="N17" i="10"/>
  <c r="N8" i="10"/>
  <c r="N10" i="10"/>
  <c r="N14" i="10"/>
  <c r="N20" i="10"/>
  <c r="N12" i="10"/>
</calcChain>
</file>

<file path=xl/comments1.xml><?xml version="1.0" encoding="utf-8"?>
<comments xmlns="http://schemas.openxmlformats.org/spreadsheetml/2006/main">
  <authors>
    <author>Kevin</author>
  </authors>
  <commentList>
    <comment ref="B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0" author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8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6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7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8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9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0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1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2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3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4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5" author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<sst xmlns="http://schemas.openxmlformats.org/spreadsheetml/2006/main" count="206" uniqueCount="60">
  <si>
    <t>Title</t>
  </si>
  <si>
    <t>Game of Thrones</t>
  </si>
  <si>
    <t>Mad Men</t>
  </si>
  <si>
    <t>Always Sunny in Philadelphia</t>
  </si>
  <si>
    <t>Archer</t>
  </si>
  <si>
    <t>Californication</t>
  </si>
  <si>
    <t>The Office</t>
  </si>
  <si>
    <t>Parks and Recreation</t>
  </si>
  <si>
    <t>How I Met Your Mother</t>
  </si>
  <si>
    <t>Big Bang Theory</t>
  </si>
  <si>
    <t>MLB</t>
  </si>
  <si>
    <t>EPL</t>
  </si>
  <si>
    <t>NFL</t>
  </si>
  <si>
    <t>Girls</t>
  </si>
  <si>
    <t>The Walking Dead</t>
  </si>
  <si>
    <t>30 Roc</t>
  </si>
  <si>
    <t>Arrested Development</t>
  </si>
  <si>
    <t>House of Cards</t>
  </si>
  <si>
    <t>New Girl</t>
  </si>
  <si>
    <t>Sportscenter</t>
  </si>
  <si>
    <t>Y</t>
  </si>
  <si>
    <t>N</t>
  </si>
  <si>
    <t>y</t>
  </si>
  <si>
    <t>Cable</t>
  </si>
  <si>
    <t>Hulu</t>
  </si>
  <si>
    <t>iTunes</t>
  </si>
  <si>
    <t>Netflix Streaming</t>
  </si>
  <si>
    <t>Netflix DVD</t>
  </si>
  <si>
    <t>n</t>
  </si>
  <si>
    <t>Premium Cable</t>
  </si>
  <si>
    <t>Internet</t>
  </si>
  <si>
    <t>Cable + Internet</t>
  </si>
  <si>
    <t>Price</t>
  </si>
  <si>
    <t>Units</t>
  </si>
  <si>
    <t>Platform</t>
  </si>
  <si>
    <t>per household per month</t>
  </si>
  <si>
    <t>per show</t>
  </si>
  <si>
    <t>30 Rock</t>
  </si>
  <si>
    <t>Utility</t>
  </si>
  <si>
    <t>Prem. Cable</t>
  </si>
  <si>
    <t>Netflix Stream</t>
  </si>
  <si>
    <t>Solver sheet</t>
  </si>
  <si>
    <t>Decision variables</t>
  </si>
  <si>
    <t>Network choices</t>
  </si>
  <si>
    <t>Show included</t>
  </si>
  <si>
    <t>Utility from show</t>
  </si>
  <si>
    <t>Total cost</t>
  </si>
  <si>
    <t>Cost for selected networks</t>
  </si>
  <si>
    <t>Budget constraint</t>
  </si>
  <si>
    <t>&lt;=</t>
  </si>
  <si>
    <t>You should get:</t>
  </si>
  <si>
    <t>Need Internet</t>
  </si>
  <si>
    <t>Internet Cost</t>
  </si>
  <si>
    <t>$C$28</t>
  </si>
  <si>
    <t>$L$25</t>
  </si>
  <si>
    <t>Oneway analysis for Solver model in Simple Model w-iTunes worksheet</t>
  </si>
  <si>
    <t>Data for chart</t>
  </si>
  <si>
    <t>Budget</t>
  </si>
  <si>
    <t>Budget (cell $C$28) values along side, output cell(s) along top</t>
  </si>
  <si>
    <t>Total utility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</si>
</sst>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  <font>
      <sz val="10"/>
      <color theme="9" tint="-0.249977111117893"/>
      <name val="Gill Sans MT"/>
      <family val="2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indexed="64"/>
      </top>
      <bottom/>
      <diagonal/>
    </border>
    <border>
      <left/>
      <right/>
      <top style="medium">
        <color theme="3"/>
      </top>
      <bottom style="medium">
        <color indexed="64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/>
    <xf numFmtId="164" fontId="0" fillId="0" borderId="7" xfId="0" applyNumberFormat="1" applyBorder="1"/>
    <xf numFmtId="0" fontId="0" fillId="0" borderId="0" xfId="0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6" xfId="0" applyFont="1" applyFill="1" applyBorder="1"/>
    <xf numFmtId="0" fontId="3" fillId="0" borderId="0" xfId="0" applyFont="1"/>
    <xf numFmtId="0" fontId="3" fillId="0" borderId="0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7" xfId="0" applyFont="1" applyBorder="1"/>
    <xf numFmtId="44" fontId="3" fillId="0" borderId="0" xfId="1" applyFont="1"/>
    <xf numFmtId="0" fontId="3" fillId="0" borderId="9" xfId="0" applyFont="1" applyFill="1" applyBorder="1"/>
    <xf numFmtId="44" fontId="4" fillId="2" borderId="0" xfId="1" applyFont="1" applyFill="1" applyBorder="1" applyAlignment="1">
      <alignment horizontal="center" wrapText="1"/>
    </xf>
    <xf numFmtId="0" fontId="3" fillId="0" borderId="10" xfId="0" applyFont="1" applyBorder="1"/>
    <xf numFmtId="0" fontId="3" fillId="0" borderId="11" xfId="0" applyFont="1" applyBorder="1"/>
    <xf numFmtId="0" fontId="3" fillId="2" borderId="0" xfId="0" applyFont="1" applyFill="1"/>
    <xf numFmtId="1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9" fontId="0" fillId="0" borderId="0" xfId="0" applyNumberFormat="1"/>
    <xf numFmtId="0" fontId="1" fillId="0" borderId="0" xfId="0" applyFont="1"/>
    <xf numFmtId="44" fontId="0" fillId="0" borderId="0" xfId="0" applyNumberFormat="1"/>
    <xf numFmtId="0" fontId="0" fillId="0" borderId="0" xfId="0" applyAlignment="1">
      <alignment horizontal="right" textRotation="90"/>
    </xf>
    <xf numFmtId="0" fontId="0" fillId="3" borderId="0" xfId="0" applyFill="1" applyAlignment="1">
      <alignment horizontal="right" textRotation="90"/>
    </xf>
    <xf numFmtId="0" fontId="6" fillId="0" borderId="0" xfId="0" applyFont="1"/>
    <xf numFmtId="0" fontId="0" fillId="0" borderId="17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3" fillId="0" borderId="19" xfId="0" applyFont="1" applyBorder="1"/>
    <xf numFmtId="0" fontId="4" fillId="2" borderId="20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 wrapText="1"/>
    </xf>
    <xf numFmtId="0" fontId="3" fillId="0" borderId="20" xfId="0" applyFont="1" applyBorder="1"/>
    <xf numFmtId="0" fontId="4" fillId="2" borderId="2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22" xfId="0" applyFont="1" applyBorder="1"/>
    <xf numFmtId="0" fontId="5" fillId="0" borderId="2" xfId="0" applyFont="1" applyBorder="1"/>
    <xf numFmtId="0" fontId="3" fillId="0" borderId="3" xfId="0" applyFont="1" applyBorder="1"/>
    <xf numFmtId="0" fontId="5" fillId="0" borderId="0" xfId="0" applyFont="1" applyBorder="1"/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23" xfId="0" applyFont="1" applyBorder="1"/>
    <xf numFmtId="0" fontId="5" fillId="0" borderId="7" xfId="0" applyFont="1" applyBorder="1"/>
    <xf numFmtId="0" fontId="3" fillId="0" borderId="8" xfId="0" applyFont="1" applyBorder="1"/>
    <xf numFmtId="0" fontId="3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Fill="1" applyBorder="1" applyAlignment="1">
      <alignment horizontal="right" wrapText="1"/>
    </xf>
    <xf numFmtId="0" fontId="4" fillId="0" borderId="12" xfId="0" applyFont="1" applyFill="1" applyBorder="1" applyAlignment="1">
      <alignment horizontal="right" wrapText="1"/>
    </xf>
  </cellXfs>
  <cellStyles count="2">
    <cellStyle name="Currency" xfId="1" builtinId="4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$L$25 to Budget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STS_1!$A$5:$A$95</c:f>
              <c:numCache>
                <c:formatCode>_("$"* #,##0.00_);_("$"* \(#,##0.00\);_("$"* "-"??_);_(@_)</c:formatCode>
                <c:ptCount val="9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52</c:v>
                </c:pt>
                <c:pt idx="43">
                  <c:v>53</c:v>
                </c:pt>
                <c:pt idx="44">
                  <c:v>54</c:v>
                </c:pt>
                <c:pt idx="45">
                  <c:v>55</c:v>
                </c:pt>
                <c:pt idx="46">
                  <c:v>56</c:v>
                </c:pt>
                <c:pt idx="47">
                  <c:v>57</c:v>
                </c:pt>
                <c:pt idx="48">
                  <c:v>58</c:v>
                </c:pt>
                <c:pt idx="49">
                  <c:v>59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63</c:v>
                </c:pt>
                <c:pt idx="54">
                  <c:v>64</c:v>
                </c:pt>
                <c:pt idx="55">
                  <c:v>65</c:v>
                </c:pt>
                <c:pt idx="56">
                  <c:v>66</c:v>
                </c:pt>
                <c:pt idx="57">
                  <c:v>67</c:v>
                </c:pt>
                <c:pt idx="58">
                  <c:v>68</c:v>
                </c:pt>
                <c:pt idx="59">
                  <c:v>69</c:v>
                </c:pt>
                <c:pt idx="60">
                  <c:v>70</c:v>
                </c:pt>
                <c:pt idx="61">
                  <c:v>71</c:v>
                </c:pt>
                <c:pt idx="62">
                  <c:v>72</c:v>
                </c:pt>
                <c:pt idx="63">
                  <c:v>73</c:v>
                </c:pt>
                <c:pt idx="64">
                  <c:v>74</c:v>
                </c:pt>
                <c:pt idx="65">
                  <c:v>75</c:v>
                </c:pt>
                <c:pt idx="66">
                  <c:v>76</c:v>
                </c:pt>
                <c:pt idx="67">
                  <c:v>77</c:v>
                </c:pt>
                <c:pt idx="68">
                  <c:v>78</c:v>
                </c:pt>
                <c:pt idx="69">
                  <c:v>79</c:v>
                </c:pt>
                <c:pt idx="70">
                  <c:v>80</c:v>
                </c:pt>
                <c:pt idx="71">
                  <c:v>81</c:v>
                </c:pt>
                <c:pt idx="72">
                  <c:v>82</c:v>
                </c:pt>
                <c:pt idx="73">
                  <c:v>83</c:v>
                </c:pt>
                <c:pt idx="74">
                  <c:v>84</c:v>
                </c:pt>
                <c:pt idx="75">
                  <c:v>85</c:v>
                </c:pt>
                <c:pt idx="76">
                  <c:v>86</c:v>
                </c:pt>
                <c:pt idx="77">
                  <c:v>87</c:v>
                </c:pt>
                <c:pt idx="78">
                  <c:v>88</c:v>
                </c:pt>
                <c:pt idx="79">
                  <c:v>89</c:v>
                </c:pt>
                <c:pt idx="80">
                  <c:v>90</c:v>
                </c:pt>
                <c:pt idx="81">
                  <c:v>91</c:v>
                </c:pt>
                <c:pt idx="82">
                  <c:v>92</c:v>
                </c:pt>
                <c:pt idx="83">
                  <c:v>93</c:v>
                </c:pt>
                <c:pt idx="84">
                  <c:v>94</c:v>
                </c:pt>
                <c:pt idx="85">
                  <c:v>95</c:v>
                </c:pt>
                <c:pt idx="86">
                  <c:v>96</c:v>
                </c:pt>
                <c:pt idx="87">
                  <c:v>97</c:v>
                </c:pt>
                <c:pt idx="88">
                  <c:v>98</c:v>
                </c:pt>
                <c:pt idx="89">
                  <c:v>99</c:v>
                </c:pt>
                <c:pt idx="90">
                  <c:v>100</c:v>
                </c:pt>
              </c:numCache>
            </c:numRef>
          </c:cat>
          <c:val>
            <c:numRef>
              <c:f>STS_1!$K$5:$K$95</c:f>
              <c:numCache>
                <c:formatCode>General</c:formatCode>
                <c:ptCount val="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43</c:v>
                </c:pt>
                <c:pt idx="22">
                  <c:v>43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53</c:v>
                </c:pt>
                <c:pt idx="45">
                  <c:v>53</c:v>
                </c:pt>
                <c:pt idx="46">
                  <c:v>53</c:v>
                </c:pt>
                <c:pt idx="47">
                  <c:v>53</c:v>
                </c:pt>
                <c:pt idx="48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53</c:v>
                </c:pt>
                <c:pt idx="54">
                  <c:v>53</c:v>
                </c:pt>
                <c:pt idx="55">
                  <c:v>53</c:v>
                </c:pt>
                <c:pt idx="56">
                  <c:v>53</c:v>
                </c:pt>
                <c:pt idx="57">
                  <c:v>53</c:v>
                </c:pt>
                <c:pt idx="58">
                  <c:v>53</c:v>
                </c:pt>
                <c:pt idx="59">
                  <c:v>53</c:v>
                </c:pt>
                <c:pt idx="60">
                  <c:v>53</c:v>
                </c:pt>
                <c:pt idx="61">
                  <c:v>53</c:v>
                </c:pt>
                <c:pt idx="62">
                  <c:v>53</c:v>
                </c:pt>
                <c:pt idx="63">
                  <c:v>53</c:v>
                </c:pt>
                <c:pt idx="64">
                  <c:v>53</c:v>
                </c:pt>
                <c:pt idx="65">
                  <c:v>53</c:v>
                </c:pt>
                <c:pt idx="66">
                  <c:v>53</c:v>
                </c:pt>
                <c:pt idx="67">
                  <c:v>53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53</c:v>
                </c:pt>
                <c:pt idx="72">
                  <c:v>53</c:v>
                </c:pt>
                <c:pt idx="73">
                  <c:v>53</c:v>
                </c:pt>
                <c:pt idx="74">
                  <c:v>53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63328"/>
        <c:axId val="165765504"/>
      </c:lineChart>
      <c:catAx>
        <c:axId val="16576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Budget ($C$28)</a:t>
                </a:r>
              </a:p>
            </c:rich>
          </c:tx>
          <c:overlay val="0"/>
        </c:title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165765504"/>
        <c:crosses val="autoZero"/>
        <c:auto val="1"/>
        <c:lblAlgn val="ctr"/>
        <c:lblOffset val="100"/>
        <c:noMultiLvlLbl val="0"/>
      </c:catAx>
      <c:valAx>
        <c:axId val="165765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Utility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solidFill>
            <a:sysClr val="window" lastClr="FFFFFF"/>
          </a:solidFill>
        </c:spPr>
        <c:crossAx val="1657633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96</xdr:row>
      <xdr:rowOff>0</xdr:rowOff>
    </xdr:from>
    <xdr:to>
      <xdr:col>18</xdr:col>
      <xdr:colOff>0</xdr:colOff>
      <xdr:row>111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180975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="80" zoomScaleNormal="80" workbookViewId="0">
      <selection activeCell="C9" sqref="C9"/>
    </sheetView>
  </sheetViews>
  <sheetFormatPr defaultRowHeight="15" x14ac:dyDescent="0.3"/>
  <cols>
    <col min="1" max="1" width="9.140625" style="16"/>
    <col min="2" max="2" width="24" style="16" bestFit="1" customWidth="1"/>
    <col min="3" max="3" width="9.140625" style="16"/>
    <col min="4" max="4" width="9.28515625" style="16" bestFit="1" customWidth="1"/>
    <col min="5" max="5" width="8.140625" style="16" bestFit="1" customWidth="1"/>
    <col min="6" max="6" width="10.85546875" style="16" customWidth="1"/>
    <col min="7" max="8" width="9.28515625" style="16" bestFit="1" customWidth="1"/>
    <col min="9" max="10" width="9.140625" style="16"/>
    <col min="11" max="11" width="14.5703125" style="16" bestFit="1" customWidth="1"/>
    <col min="12" max="12" width="13.42578125" style="16" bestFit="1" customWidth="1"/>
    <col min="13" max="13" width="10.5703125" style="16" bestFit="1" customWidth="1"/>
    <col min="14" max="14" width="24.42578125" style="16" bestFit="1" customWidth="1"/>
    <col min="15" max="16384" width="9.140625" style="16"/>
  </cols>
  <sheetData>
    <row r="1" spans="1:14" x14ac:dyDescent="0.3">
      <c r="B1" s="16" t="s">
        <v>41</v>
      </c>
    </row>
    <row r="2" spans="1:14" ht="15.75" thickBot="1" x14ac:dyDescent="0.35">
      <c r="D2" s="33">
        <f>IF(D4=0,0,1)</f>
        <v>0</v>
      </c>
      <c r="E2" s="33">
        <f>IF(E4=0,0,MAX($D$2:D2)+1)</f>
        <v>0</v>
      </c>
      <c r="F2" s="33">
        <f>IF(F4=0,0,MAX($D$2:E2)+1)</f>
        <v>0</v>
      </c>
      <c r="G2" s="33">
        <f>IF(G4=0,0,MAX($D$2:F2)+1)</f>
        <v>1</v>
      </c>
      <c r="H2" s="33">
        <f>IF(H4=0,0,MAX($D$2:G2)+1)</f>
        <v>0</v>
      </c>
      <c r="I2" s="31"/>
    </row>
    <row r="3" spans="1:14" ht="30.75" thickBot="1" x14ac:dyDescent="0.35">
      <c r="B3" s="68" t="s">
        <v>43</v>
      </c>
      <c r="C3" s="68"/>
      <c r="D3" s="65" t="s">
        <v>23</v>
      </c>
      <c r="E3" s="49" t="s">
        <v>39</v>
      </c>
      <c r="F3" s="49" t="s">
        <v>24</v>
      </c>
      <c r="G3" s="49" t="s">
        <v>40</v>
      </c>
      <c r="H3" s="49" t="s">
        <v>27</v>
      </c>
      <c r="I3" s="66" t="s">
        <v>25</v>
      </c>
      <c r="K3" s="67" t="s">
        <v>51</v>
      </c>
      <c r="L3" s="67" t="s">
        <v>52</v>
      </c>
    </row>
    <row r="4" spans="1:14" ht="16.5" customHeight="1" thickBot="1" x14ac:dyDescent="0.35">
      <c r="B4" s="68" t="s">
        <v>42</v>
      </c>
      <c r="C4" s="69"/>
      <c r="D4" s="62">
        <v>0</v>
      </c>
      <c r="E4" s="63">
        <v>0</v>
      </c>
      <c r="F4" s="63">
        <v>0</v>
      </c>
      <c r="G4" s="63">
        <v>1</v>
      </c>
      <c r="H4" s="64">
        <v>0</v>
      </c>
      <c r="I4" s="30"/>
      <c r="K4" s="16">
        <f>IF(SUM(F4:H4,I8:I19,I22)&gt;=1,1,0)</f>
        <v>1</v>
      </c>
      <c r="L4" s="25">
        <v>19.989999999999998</v>
      </c>
    </row>
    <row r="5" spans="1:14" ht="15.75" customHeight="1" x14ac:dyDescent="0.3">
      <c r="B5" s="68" t="s">
        <v>32</v>
      </c>
      <c r="C5" s="68"/>
      <c r="D5" s="27">
        <v>64.989999999999995</v>
      </c>
      <c r="E5" s="27">
        <v>84.99</v>
      </c>
      <c r="F5" s="27">
        <v>8.99</v>
      </c>
      <c r="G5" s="27">
        <v>7.99</v>
      </c>
      <c r="H5" s="27">
        <v>10.99</v>
      </c>
      <c r="I5" s="27">
        <v>9.99</v>
      </c>
    </row>
    <row r="6" spans="1:14" s="31" customFormat="1" ht="15.75" thickBot="1" x14ac:dyDescent="0.35">
      <c r="C6" s="32"/>
    </row>
    <row r="7" spans="1:14" ht="45.75" thickBot="1" x14ac:dyDescent="0.35">
      <c r="B7" s="47"/>
      <c r="C7" s="48" t="s">
        <v>38</v>
      </c>
      <c r="D7" s="49" t="s">
        <v>23</v>
      </c>
      <c r="E7" s="49" t="s">
        <v>39</v>
      </c>
      <c r="F7" s="49" t="s">
        <v>24</v>
      </c>
      <c r="G7" s="49" t="s">
        <v>40</v>
      </c>
      <c r="H7" s="49" t="s">
        <v>27</v>
      </c>
      <c r="I7" s="49" t="s">
        <v>25</v>
      </c>
      <c r="J7" s="50"/>
      <c r="K7" s="49" t="s">
        <v>44</v>
      </c>
      <c r="L7" s="49" t="s">
        <v>45</v>
      </c>
      <c r="M7" s="50"/>
      <c r="N7" s="51" t="s">
        <v>50</v>
      </c>
    </row>
    <row r="8" spans="1:14" x14ac:dyDescent="0.3">
      <c r="A8" s="35">
        <f>IF(I8=0,0,MAX(D2:H2)+1)</f>
        <v>2</v>
      </c>
      <c r="B8" s="22" t="s">
        <v>1</v>
      </c>
      <c r="C8" s="52">
        <v>8</v>
      </c>
      <c r="D8" s="23">
        <f>IF(D$4,IF(Data!C3="y",1,0),0)</f>
        <v>0</v>
      </c>
      <c r="E8" s="23">
        <f>IF(E$4,IF(Data!D3="y",1,0),0)</f>
        <v>0</v>
      </c>
      <c r="F8" s="23">
        <f>IF(F$4,IF(Data!E3="y",1,0),0)</f>
        <v>0</v>
      </c>
      <c r="G8" s="23">
        <f>IF(G$4,IF(Data!F3="y",1,0),0)</f>
        <v>0</v>
      </c>
      <c r="H8" s="23">
        <f>IF(H$4,IF(Data!G3="y",1,0),0)</f>
        <v>0</v>
      </c>
      <c r="I8" s="53">
        <v>1</v>
      </c>
      <c r="J8" s="23"/>
      <c r="K8" s="23">
        <f t="shared" ref="K8:K23" si="0">SUM(D8:H8,I8)</f>
        <v>1</v>
      </c>
      <c r="L8" s="23">
        <f t="shared" ref="L8:L23" si="1">IF(K8&gt;0,C8,0)</f>
        <v>8</v>
      </c>
      <c r="M8" s="54">
        <v>1</v>
      </c>
      <c r="N8" s="55" t="str">
        <f t="shared" ref="N8:N23" si="2">IF(MAX($A$8:$A$23)&lt;M8,"",(IF(MAX($D$2:$H$2)&gt;=M8,(HLOOKUP(M8,$D$2:$H$3,2,FALSE)),(VLOOKUP(M8,$A$8:$B$23,2,FALSE))&amp;" on iTunes")))</f>
        <v>Netflix Stream</v>
      </c>
    </row>
    <row r="9" spans="1:14" x14ac:dyDescent="0.3">
      <c r="A9" s="35">
        <f>IF(I9=0,0,MAX($A$8:A8,$D$2:$H$2)+1)</f>
        <v>0</v>
      </c>
      <c r="B9" s="18" t="s">
        <v>2</v>
      </c>
      <c r="C9" s="20">
        <v>0</v>
      </c>
      <c r="D9" s="17">
        <f>IF(D$4,IF(Data!C4="y",1,0),0)</f>
        <v>0</v>
      </c>
      <c r="E9" s="17">
        <f>IF(E$4,IF(Data!D4="y",1,0),0)</f>
        <v>0</v>
      </c>
      <c r="F9" s="17">
        <f>IF(F$4,IF(Data!E4="y",1,0),0)</f>
        <v>0</v>
      </c>
      <c r="G9" s="17">
        <f>IF(G$4,IF(Data!F4="y",1,0),0)</f>
        <v>1</v>
      </c>
      <c r="H9" s="17">
        <f>IF(H$4,IF(Data!G4="y",1,0),0)</f>
        <v>0</v>
      </c>
      <c r="I9" s="28">
        <v>0</v>
      </c>
      <c r="J9" s="17"/>
      <c r="K9" s="17">
        <f t="shared" si="0"/>
        <v>1</v>
      </c>
      <c r="L9" s="17">
        <f t="shared" si="1"/>
        <v>0</v>
      </c>
      <c r="M9" s="56">
        <v>2</v>
      </c>
      <c r="N9" s="57" t="str">
        <f t="shared" si="2"/>
        <v>Game of Thrones on iTunes</v>
      </c>
    </row>
    <row r="10" spans="1:14" x14ac:dyDescent="0.3">
      <c r="A10" s="35">
        <f>IF(I10=0,0,MAX($A$8:A9,$D$2:$H$2)+1)</f>
        <v>0</v>
      </c>
      <c r="B10" s="18" t="s">
        <v>3</v>
      </c>
      <c r="C10" s="20">
        <v>8</v>
      </c>
      <c r="D10" s="17">
        <f>IF(D$4,IF(Data!C5="y",1,0),0)</f>
        <v>0</v>
      </c>
      <c r="E10" s="17">
        <f>IF(E$4,IF(Data!D5="y",1,0),0)</f>
        <v>0</v>
      </c>
      <c r="F10" s="17">
        <f>IF(F$4,IF(Data!E5="y",1,0),0)</f>
        <v>0</v>
      </c>
      <c r="G10" s="17">
        <f>IF(G$4,IF(Data!F5="y",1,0),0)</f>
        <v>1</v>
      </c>
      <c r="H10" s="17">
        <f>IF(H$4,IF(Data!G5="y",1,0),0)</f>
        <v>0</v>
      </c>
      <c r="I10" s="28">
        <v>0</v>
      </c>
      <c r="J10" s="17"/>
      <c r="K10" s="17">
        <f t="shared" si="0"/>
        <v>1</v>
      </c>
      <c r="L10" s="17">
        <f t="shared" si="1"/>
        <v>8</v>
      </c>
      <c r="M10" s="56">
        <v>3</v>
      </c>
      <c r="N10" s="57" t="str">
        <f t="shared" si="2"/>
        <v/>
      </c>
    </row>
    <row r="11" spans="1:14" x14ac:dyDescent="0.3">
      <c r="A11" s="35">
        <f>IF(I11=0,0,MAX($A$8:A10,$D$2:$H$2)+1)</f>
        <v>0</v>
      </c>
      <c r="B11" s="18" t="s">
        <v>4</v>
      </c>
      <c r="C11" s="20">
        <v>4</v>
      </c>
      <c r="D11" s="17">
        <f>IF(D$4,IF(Data!C6="y",1,0),0)</f>
        <v>0</v>
      </c>
      <c r="E11" s="17">
        <f>IF(E$4,IF(Data!D6="y",1,0),0)</f>
        <v>0</v>
      </c>
      <c r="F11" s="17">
        <f>IF(F$4,IF(Data!E6="y",1,0),0)</f>
        <v>0</v>
      </c>
      <c r="G11" s="17">
        <f>IF(G$4,IF(Data!F6="y",1,0),0)</f>
        <v>1</v>
      </c>
      <c r="H11" s="17">
        <f>IF(H$4,IF(Data!G6="y",1,0),0)</f>
        <v>0</v>
      </c>
      <c r="I11" s="28">
        <v>0</v>
      </c>
      <c r="J11" s="17"/>
      <c r="K11" s="17">
        <f t="shared" si="0"/>
        <v>1</v>
      </c>
      <c r="L11" s="17">
        <f t="shared" si="1"/>
        <v>4</v>
      </c>
      <c r="M11" s="56">
        <v>4</v>
      </c>
      <c r="N11" s="57" t="str">
        <f t="shared" si="2"/>
        <v/>
      </c>
    </row>
    <row r="12" spans="1:14" x14ac:dyDescent="0.3">
      <c r="A12" s="35">
        <f>IF(I12=0,0,MAX($A$8:A11,$D$2:$H$2)+1)</f>
        <v>0</v>
      </c>
      <c r="B12" s="18" t="s">
        <v>5</v>
      </c>
      <c r="C12" s="20">
        <v>0</v>
      </c>
      <c r="D12" s="17">
        <f>IF(D$4,IF(Data!C7="y",1,0),0)</f>
        <v>0</v>
      </c>
      <c r="E12" s="17">
        <f>IF(E$4,IF(Data!D7="y",1,0),0)</f>
        <v>0</v>
      </c>
      <c r="F12" s="17">
        <f>IF(F$4,IF(Data!E7="y",1,0),0)</f>
        <v>0</v>
      </c>
      <c r="G12" s="17">
        <f>IF(G$4,IF(Data!F7="y",1,0),0)</f>
        <v>0</v>
      </c>
      <c r="H12" s="17">
        <f>IF(H$4,IF(Data!G7="y",1,0),0)</f>
        <v>0</v>
      </c>
      <c r="I12" s="28">
        <v>0</v>
      </c>
      <c r="J12" s="17"/>
      <c r="K12" s="17">
        <f t="shared" si="0"/>
        <v>0</v>
      </c>
      <c r="L12" s="17">
        <f t="shared" si="1"/>
        <v>0</v>
      </c>
      <c r="M12" s="56">
        <v>5</v>
      </c>
      <c r="N12" s="57" t="str">
        <f t="shared" si="2"/>
        <v/>
      </c>
    </row>
    <row r="13" spans="1:14" x14ac:dyDescent="0.3">
      <c r="A13" s="35">
        <f>IF(I13=0,0,MAX($A$8:A12,$D$2:$H$2)+1)</f>
        <v>0</v>
      </c>
      <c r="B13" s="18" t="s">
        <v>6</v>
      </c>
      <c r="C13" s="20">
        <v>5</v>
      </c>
      <c r="D13" s="17">
        <f>IF(D$4,IF(Data!C8="y",1,0),0)</f>
        <v>0</v>
      </c>
      <c r="E13" s="17">
        <f>IF(E$4,IF(Data!D8="y",1,0),0)</f>
        <v>0</v>
      </c>
      <c r="F13" s="17">
        <f>IF(F$4,IF(Data!E8="y",1,0),0)</f>
        <v>0</v>
      </c>
      <c r="G13" s="17">
        <f>IF(G$4,IF(Data!F8="y",1,0),0)</f>
        <v>1</v>
      </c>
      <c r="H13" s="17">
        <f>IF(H$4,IF(Data!G8="y",1,0),0)</f>
        <v>0</v>
      </c>
      <c r="I13" s="28">
        <v>0</v>
      </c>
      <c r="J13" s="17"/>
      <c r="K13" s="17">
        <f t="shared" si="0"/>
        <v>1</v>
      </c>
      <c r="L13" s="17">
        <f t="shared" si="1"/>
        <v>5</v>
      </c>
      <c r="M13" s="56">
        <v>6</v>
      </c>
      <c r="N13" s="57" t="str">
        <f t="shared" si="2"/>
        <v/>
      </c>
    </row>
    <row r="14" spans="1:14" x14ac:dyDescent="0.3">
      <c r="A14" s="35">
        <f>IF(I14=0,0,MAX($A$8:A13,$D$2:$H$2)+1)</f>
        <v>0</v>
      </c>
      <c r="B14" s="18" t="s">
        <v>7</v>
      </c>
      <c r="C14" s="20">
        <v>5</v>
      </c>
      <c r="D14" s="17">
        <f>IF(D$4,IF(Data!C9="y",1,0),0)</f>
        <v>0</v>
      </c>
      <c r="E14" s="17">
        <f>IF(E$4,IF(Data!D9="y",1,0),0)</f>
        <v>0</v>
      </c>
      <c r="F14" s="17">
        <f>IF(F$4,IF(Data!E9="y",1,0),0)</f>
        <v>0</v>
      </c>
      <c r="G14" s="17">
        <f>IF(G$4,IF(Data!F9="y",1,0),0)</f>
        <v>1</v>
      </c>
      <c r="H14" s="17">
        <f>IF(H$4,IF(Data!G9="y",1,0),0)</f>
        <v>0</v>
      </c>
      <c r="I14" s="28">
        <v>0</v>
      </c>
      <c r="J14" s="17"/>
      <c r="K14" s="17">
        <f t="shared" si="0"/>
        <v>1</v>
      </c>
      <c r="L14" s="17">
        <f t="shared" si="1"/>
        <v>5</v>
      </c>
      <c r="M14" s="56">
        <v>7</v>
      </c>
      <c r="N14" s="57" t="str">
        <f t="shared" si="2"/>
        <v/>
      </c>
    </row>
    <row r="15" spans="1:14" x14ac:dyDescent="0.3">
      <c r="A15" s="35">
        <f>IF(I15=0,0,MAX($A$8:A14,$D$2:$H$2)+1)</f>
        <v>0</v>
      </c>
      <c r="B15" s="18" t="s">
        <v>8</v>
      </c>
      <c r="C15" s="20">
        <v>6</v>
      </c>
      <c r="D15" s="17">
        <f>IF(D$4,IF(Data!C10="y",1,0),0)</f>
        <v>0</v>
      </c>
      <c r="E15" s="17">
        <f>IF(E$4,IF(Data!D10="y",1,0),0)</f>
        <v>0</v>
      </c>
      <c r="F15" s="17">
        <f>IF(F$4,IF(Data!E10="y",1,0),0)</f>
        <v>0</v>
      </c>
      <c r="G15" s="17">
        <f>IF(G$4,IF(Data!F10="y",1,0),0)</f>
        <v>1</v>
      </c>
      <c r="H15" s="17">
        <f>IF(H$4,IF(Data!G10="y",1,0),0)</f>
        <v>0</v>
      </c>
      <c r="I15" s="28">
        <v>0</v>
      </c>
      <c r="J15" s="17"/>
      <c r="K15" s="17">
        <f t="shared" si="0"/>
        <v>1</v>
      </c>
      <c r="L15" s="17">
        <f t="shared" si="1"/>
        <v>6</v>
      </c>
      <c r="M15" s="56">
        <v>8</v>
      </c>
      <c r="N15" s="57" t="str">
        <f t="shared" si="2"/>
        <v/>
      </c>
    </row>
    <row r="16" spans="1:14" x14ac:dyDescent="0.3">
      <c r="A16" s="35">
        <f>IF(I16=0,0,MAX($A$8:A15,$D$2:$H$2)+1)</f>
        <v>0</v>
      </c>
      <c r="B16" s="18" t="s">
        <v>9</v>
      </c>
      <c r="C16" s="20">
        <v>5</v>
      </c>
      <c r="D16" s="17">
        <f>IF(D$4,IF(Data!C11="y",1,0),0)</f>
        <v>0</v>
      </c>
      <c r="E16" s="17">
        <f>IF(E$4,IF(Data!D11="y",1,0),0)</f>
        <v>0</v>
      </c>
      <c r="F16" s="17">
        <f>IF(F$4,IF(Data!E11="y",1,0),0)</f>
        <v>0</v>
      </c>
      <c r="G16" s="17">
        <f>IF(G$4,IF(Data!F11="y",1,0),0)</f>
        <v>1</v>
      </c>
      <c r="H16" s="17">
        <f>IF(H$4,IF(Data!G11="y",1,0),0)</f>
        <v>0</v>
      </c>
      <c r="I16" s="28">
        <v>0</v>
      </c>
      <c r="J16" s="17"/>
      <c r="K16" s="17">
        <f t="shared" si="0"/>
        <v>1</v>
      </c>
      <c r="L16" s="17">
        <f t="shared" si="1"/>
        <v>5</v>
      </c>
      <c r="M16" s="56">
        <v>9</v>
      </c>
      <c r="N16" s="57" t="str">
        <f t="shared" si="2"/>
        <v/>
      </c>
    </row>
    <row r="17" spans="1:14" x14ac:dyDescent="0.3">
      <c r="A17" s="35">
        <f>IF(I17=0,0,MAX($A$8:A16,$D$2:$H$2)+1)</f>
        <v>0</v>
      </c>
      <c r="B17" s="18" t="s">
        <v>13</v>
      </c>
      <c r="C17" s="20">
        <v>0</v>
      </c>
      <c r="D17" s="17">
        <f>IF(D$4,IF(Data!C12="y",1,0),0)</f>
        <v>0</v>
      </c>
      <c r="E17" s="17">
        <f>IF(E$4,IF(Data!D12="y",1,0),0)</f>
        <v>0</v>
      </c>
      <c r="F17" s="17">
        <f>IF(F$4,IF(Data!E12="y",1,0),0)</f>
        <v>0</v>
      </c>
      <c r="G17" s="17">
        <f>IF(G$4,IF(Data!F12="y",1,0),0)</f>
        <v>0</v>
      </c>
      <c r="H17" s="17">
        <f>IF(H$4,IF(Data!G12="y",1,0),0)</f>
        <v>0</v>
      </c>
      <c r="I17" s="28">
        <v>0</v>
      </c>
      <c r="J17" s="17"/>
      <c r="K17" s="17">
        <f t="shared" si="0"/>
        <v>0</v>
      </c>
      <c r="L17" s="17">
        <f t="shared" si="1"/>
        <v>0</v>
      </c>
      <c r="M17" s="56">
        <v>13</v>
      </c>
      <c r="N17" s="57" t="str">
        <f t="shared" si="2"/>
        <v/>
      </c>
    </row>
    <row r="18" spans="1:14" x14ac:dyDescent="0.3">
      <c r="A18" s="35">
        <f>IF(I18=0,0,MAX($A$8:A17,$D$2:$H$2)+1)</f>
        <v>0</v>
      </c>
      <c r="B18" s="18" t="s">
        <v>14</v>
      </c>
      <c r="C18" s="20">
        <v>0</v>
      </c>
      <c r="D18" s="17">
        <f>IF(D$4,IF(Data!C13="y",1,0),0)</f>
        <v>0</v>
      </c>
      <c r="E18" s="17">
        <f>IF(E$4,IF(Data!D13="y",1,0),0)</f>
        <v>0</v>
      </c>
      <c r="F18" s="17">
        <f>IF(F$4,IF(Data!E13="y",1,0),0)</f>
        <v>0</v>
      </c>
      <c r="G18" s="17">
        <f>IF(G$4,IF(Data!F13="y",1,0),0)</f>
        <v>1</v>
      </c>
      <c r="H18" s="17">
        <f>IF(H$4,IF(Data!G13="y",1,0),0)</f>
        <v>0</v>
      </c>
      <c r="I18" s="28">
        <v>0</v>
      </c>
      <c r="J18" s="17"/>
      <c r="K18" s="17">
        <f t="shared" si="0"/>
        <v>1</v>
      </c>
      <c r="L18" s="17">
        <f t="shared" si="1"/>
        <v>0</v>
      </c>
      <c r="M18" s="56">
        <v>14</v>
      </c>
      <c r="N18" s="57" t="str">
        <f t="shared" si="2"/>
        <v/>
      </c>
    </row>
    <row r="19" spans="1:14" ht="15.75" thickBot="1" x14ac:dyDescent="0.35">
      <c r="A19" s="35">
        <f>IF(I19=0,0,MAX($A$8:A18,$D$2:$H$2)+1)</f>
        <v>0</v>
      </c>
      <c r="B19" s="18" t="s">
        <v>37</v>
      </c>
      <c r="C19" s="20">
        <v>2</v>
      </c>
      <c r="D19" s="17">
        <f>IF(D$4,IF(Data!C14="y",1,0),0)</f>
        <v>0</v>
      </c>
      <c r="E19" s="17">
        <f>IF(E$4,IF(Data!D14="y",1,0),0)</f>
        <v>0</v>
      </c>
      <c r="F19" s="17">
        <f>IF(F$4,IF(Data!E14="y",1,0),0)</f>
        <v>0</v>
      </c>
      <c r="G19" s="17">
        <f>IF(G$4,IF(Data!F14="y",1,0),0)</f>
        <v>1</v>
      </c>
      <c r="H19" s="17">
        <f>IF(H$4,IF(Data!G14="y",1,0),0)</f>
        <v>0</v>
      </c>
      <c r="I19" s="29">
        <v>0</v>
      </c>
      <c r="J19" s="17"/>
      <c r="K19" s="17">
        <f t="shared" si="0"/>
        <v>1</v>
      </c>
      <c r="L19" s="17">
        <f t="shared" si="1"/>
        <v>2</v>
      </c>
      <c r="M19" s="56">
        <v>15</v>
      </c>
      <c r="N19" s="57" t="str">
        <f t="shared" si="2"/>
        <v/>
      </c>
    </row>
    <row r="20" spans="1:14" x14ac:dyDescent="0.3">
      <c r="A20" s="35">
        <f>IF(I20=0,0,MAX($A$8:A19,$D$2:$H$2)+1)</f>
        <v>0</v>
      </c>
      <c r="B20" s="18" t="s">
        <v>16</v>
      </c>
      <c r="C20" s="20">
        <v>3</v>
      </c>
      <c r="D20" s="17">
        <f>IF(D$4,IF(Data!C15="y",1,0),0)</f>
        <v>0</v>
      </c>
      <c r="E20" s="17">
        <f>IF(E$4,IF(Data!D15="y",1,0),0)</f>
        <v>0</v>
      </c>
      <c r="F20" s="17">
        <f>IF(F$4,IF(Data!E15="y",1,0),0)</f>
        <v>0</v>
      </c>
      <c r="G20" s="17">
        <f>IF(G$4,IF(Data!F15="y",1,0),0)</f>
        <v>1</v>
      </c>
      <c r="H20" s="17">
        <f>IF(H$4,IF(Data!G15="y",1,0),0)</f>
        <v>0</v>
      </c>
      <c r="I20" s="36">
        <v>0</v>
      </c>
      <c r="J20" s="17"/>
      <c r="K20" s="17">
        <f t="shared" si="0"/>
        <v>1</v>
      </c>
      <c r="L20" s="17">
        <f t="shared" si="1"/>
        <v>3</v>
      </c>
      <c r="M20" s="56">
        <v>16</v>
      </c>
      <c r="N20" s="57" t="str">
        <f t="shared" si="2"/>
        <v/>
      </c>
    </row>
    <row r="21" spans="1:14" ht="15.75" thickBot="1" x14ac:dyDescent="0.35">
      <c r="A21" s="35">
        <f>IF(I21=0,0,MAX($A$8:A20,$D$2:$H$2)+1)</f>
        <v>0</v>
      </c>
      <c r="B21" s="18" t="s">
        <v>17</v>
      </c>
      <c r="C21" s="20">
        <v>5</v>
      </c>
      <c r="D21" s="17">
        <f>IF(D$4,IF(Data!C16="y",1,0),0)</f>
        <v>0</v>
      </c>
      <c r="E21" s="17">
        <f>IF(E$4,IF(Data!D16="y",1,0),0)</f>
        <v>0</v>
      </c>
      <c r="F21" s="17">
        <f>IF(F$4,IF(Data!E16="y",1,0),0)</f>
        <v>0</v>
      </c>
      <c r="G21" s="17">
        <f>IF(G$4,IF(Data!F16="y",1,0),0)</f>
        <v>1</v>
      </c>
      <c r="H21" s="17">
        <f>IF(H$4,IF(Data!G16="y",1,0),0)</f>
        <v>0</v>
      </c>
      <c r="I21" s="17">
        <v>0</v>
      </c>
      <c r="J21" s="17"/>
      <c r="K21" s="17">
        <f t="shared" si="0"/>
        <v>1</v>
      </c>
      <c r="L21" s="17">
        <f t="shared" si="1"/>
        <v>5</v>
      </c>
      <c r="M21" s="56">
        <v>17</v>
      </c>
      <c r="N21" s="57" t="str">
        <f t="shared" si="2"/>
        <v/>
      </c>
    </row>
    <row r="22" spans="1:14" ht="15.75" thickBot="1" x14ac:dyDescent="0.35">
      <c r="A22" s="35">
        <f>IF(I22=0,0,MAX($A$8:A21,$D$2:$H$2)+1)</f>
        <v>0</v>
      </c>
      <c r="B22" s="18" t="s">
        <v>18</v>
      </c>
      <c r="C22" s="20">
        <v>0</v>
      </c>
      <c r="D22" s="17">
        <f>IF(D$4,IF(Data!C17="y",1,0),0)</f>
        <v>0</v>
      </c>
      <c r="E22" s="17">
        <f>IF(E$4,IF(Data!D17="y",1,0),0)</f>
        <v>0</v>
      </c>
      <c r="F22" s="17">
        <f>IF(F$4,IF(Data!E17="y",1,0),0)</f>
        <v>0</v>
      </c>
      <c r="G22" s="17">
        <f>IF(G$4,IF(Data!F17="y",1,0),0)</f>
        <v>1</v>
      </c>
      <c r="H22" s="17">
        <f>IF(H$4,IF(Data!G17="y",1,0),0)</f>
        <v>0</v>
      </c>
      <c r="I22" s="37">
        <v>0</v>
      </c>
      <c r="J22" s="17"/>
      <c r="K22" s="17">
        <f t="shared" si="0"/>
        <v>1</v>
      </c>
      <c r="L22" s="17">
        <f t="shared" si="1"/>
        <v>0</v>
      </c>
      <c r="M22" s="56">
        <v>18</v>
      </c>
      <c r="N22" s="57" t="str">
        <f t="shared" si="2"/>
        <v/>
      </c>
    </row>
    <row r="23" spans="1:14" ht="15.75" thickBot="1" x14ac:dyDescent="0.35">
      <c r="A23" s="35">
        <f>IF(I23=0,0,MAX($A$8:A22,$D$2:$H$2)+1)</f>
        <v>0</v>
      </c>
      <c r="B23" s="19" t="s">
        <v>19</v>
      </c>
      <c r="C23" s="58">
        <v>7</v>
      </c>
      <c r="D23" s="24">
        <f>IF(D$4,IF(Data!C18="y",1,0),0)</f>
        <v>0</v>
      </c>
      <c r="E23" s="24">
        <f>IF(E$4,IF(Data!D18="y",1,0),0)</f>
        <v>0</v>
      </c>
      <c r="F23" s="24">
        <f>IF(F$4,IF(Data!E18="y",1,0),0)</f>
        <v>0</v>
      </c>
      <c r="G23" s="24">
        <f>IF(G$4,IF(Data!F18="y",1,0),0)</f>
        <v>0</v>
      </c>
      <c r="H23" s="24">
        <f>IF(H$4,IF(Data!G18="y",1,0),0)</f>
        <v>0</v>
      </c>
      <c r="I23" s="59">
        <v>0</v>
      </c>
      <c r="J23" s="24"/>
      <c r="K23" s="24">
        <f t="shared" si="0"/>
        <v>0</v>
      </c>
      <c r="L23" s="24">
        <f t="shared" si="1"/>
        <v>0</v>
      </c>
      <c r="M23" s="60">
        <v>19</v>
      </c>
      <c r="N23" s="61" t="str">
        <f t="shared" si="2"/>
        <v/>
      </c>
    </row>
    <row r="24" spans="1:14" ht="15.75" thickBot="1" x14ac:dyDescent="0.35">
      <c r="M24" s="34"/>
    </row>
    <row r="25" spans="1:14" ht="15.75" thickBot="1" x14ac:dyDescent="0.35">
      <c r="B25" s="16" t="s">
        <v>47</v>
      </c>
      <c r="D25" s="25">
        <f>IF(E4,0,D5*D4)</f>
        <v>0</v>
      </c>
      <c r="E25" s="25">
        <f>E5*E4</f>
        <v>0</v>
      </c>
      <c r="F25" s="25">
        <f>F5*F4</f>
        <v>0</v>
      </c>
      <c r="G25" s="25">
        <f>G5*G4</f>
        <v>7.99</v>
      </c>
      <c r="H25" s="25">
        <f>H5*H4</f>
        <v>0</v>
      </c>
      <c r="I25" s="25">
        <f>SUM(I8:I23)*I5</f>
        <v>9.99</v>
      </c>
      <c r="K25" s="16" t="s">
        <v>59</v>
      </c>
      <c r="L25" s="26">
        <f>SUM(L8:L23)</f>
        <v>51</v>
      </c>
      <c r="M25" s="34"/>
    </row>
    <row r="26" spans="1:14" x14ac:dyDescent="0.3">
      <c r="B26" s="16" t="s">
        <v>46</v>
      </c>
      <c r="C26" s="25">
        <f>SUM(D25:I25)+K4*L4</f>
        <v>37.97</v>
      </c>
      <c r="M26" s="34"/>
    </row>
    <row r="27" spans="1:14" x14ac:dyDescent="0.3">
      <c r="C27" s="21" t="s">
        <v>49</v>
      </c>
      <c r="M27" s="34"/>
    </row>
    <row r="28" spans="1:14" x14ac:dyDescent="0.3">
      <c r="B28" s="16" t="s">
        <v>48</v>
      </c>
      <c r="C28" s="25">
        <v>70</v>
      </c>
      <c r="M28" s="34"/>
    </row>
    <row r="29" spans="1:14" x14ac:dyDescent="0.3">
      <c r="M29" s="34"/>
    </row>
    <row r="30" spans="1:14" x14ac:dyDescent="0.3">
      <c r="M30" s="34"/>
    </row>
    <row r="31" spans="1:14" x14ac:dyDescent="0.3">
      <c r="M31" s="34"/>
    </row>
    <row r="32" spans="1:14" x14ac:dyDescent="0.3">
      <c r="M32" s="34"/>
    </row>
    <row r="33" spans="13:13" x14ac:dyDescent="0.3">
      <c r="M33" s="34"/>
    </row>
    <row r="34" spans="13:13" x14ac:dyDescent="0.3">
      <c r="M34" s="34"/>
    </row>
  </sheetData>
  <mergeCells count="3">
    <mergeCell ref="B3:C3"/>
    <mergeCell ref="B4:C4"/>
    <mergeCell ref="B5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workbookViewId="0"/>
  </sheetViews>
  <sheetFormatPr defaultRowHeight="15" x14ac:dyDescent="0.25"/>
  <cols>
    <col min="2" max="2" width="27.42578125" bestFit="1" customWidth="1"/>
    <col min="3" max="3" width="8.7109375" bestFit="1" customWidth="1"/>
    <col min="4" max="4" width="24" customWidth="1"/>
    <col min="5" max="5" width="16.42578125" bestFit="1" customWidth="1"/>
    <col min="6" max="6" width="16.7109375" customWidth="1"/>
    <col min="7" max="7" width="12.5703125" bestFit="1" customWidth="1"/>
    <col min="8" max="8" width="9.7109375" bestFit="1" customWidth="1"/>
  </cols>
  <sheetData>
    <row r="1" spans="2:10" ht="15.75" thickBot="1" x14ac:dyDescent="0.3"/>
    <row r="2" spans="2:10" x14ac:dyDescent="0.25">
      <c r="B2" s="12" t="s">
        <v>0</v>
      </c>
      <c r="C2" s="13" t="s">
        <v>23</v>
      </c>
      <c r="D2" s="13" t="s">
        <v>29</v>
      </c>
      <c r="E2" s="13" t="s">
        <v>24</v>
      </c>
      <c r="F2" s="13" t="s">
        <v>26</v>
      </c>
      <c r="G2" s="13" t="s">
        <v>27</v>
      </c>
      <c r="H2" s="13" t="s">
        <v>25</v>
      </c>
    </row>
    <row r="3" spans="2:10" x14ac:dyDescent="0.25">
      <c r="B3" s="3" t="s">
        <v>1</v>
      </c>
      <c r="C3" s="4" t="s">
        <v>21</v>
      </c>
      <c r="D3" s="4" t="s">
        <v>22</v>
      </c>
      <c r="E3" s="4" t="s">
        <v>28</v>
      </c>
      <c r="F3" s="4" t="s">
        <v>28</v>
      </c>
      <c r="G3" s="4" t="s">
        <v>28</v>
      </c>
      <c r="H3" s="4" t="s">
        <v>22</v>
      </c>
      <c r="J3" t="s">
        <v>20</v>
      </c>
    </row>
    <row r="4" spans="2:10" x14ac:dyDescent="0.25">
      <c r="B4" s="3" t="s">
        <v>2</v>
      </c>
      <c r="C4" s="4" t="s">
        <v>22</v>
      </c>
      <c r="D4" s="4" t="s">
        <v>22</v>
      </c>
      <c r="E4" s="4" t="s">
        <v>28</v>
      </c>
      <c r="F4" s="4" t="s">
        <v>22</v>
      </c>
      <c r="G4" s="4" t="s">
        <v>22</v>
      </c>
      <c r="H4" s="4" t="s">
        <v>22</v>
      </c>
      <c r="J4" t="s">
        <v>21</v>
      </c>
    </row>
    <row r="5" spans="2:10" x14ac:dyDescent="0.25">
      <c r="B5" s="3" t="s">
        <v>3</v>
      </c>
      <c r="C5" s="4" t="s">
        <v>22</v>
      </c>
      <c r="D5" s="4" t="s">
        <v>22</v>
      </c>
      <c r="E5" s="4" t="s">
        <v>28</v>
      </c>
      <c r="F5" s="4" t="s">
        <v>20</v>
      </c>
      <c r="G5" s="4" t="s">
        <v>22</v>
      </c>
      <c r="H5" s="4" t="s">
        <v>22</v>
      </c>
    </row>
    <row r="6" spans="2:10" x14ac:dyDescent="0.25">
      <c r="B6" s="3" t="s">
        <v>4</v>
      </c>
      <c r="C6" s="4" t="s">
        <v>22</v>
      </c>
      <c r="D6" s="4" t="s">
        <v>22</v>
      </c>
      <c r="E6" s="4" t="s">
        <v>28</v>
      </c>
      <c r="F6" s="4" t="s">
        <v>20</v>
      </c>
      <c r="G6" s="4" t="s">
        <v>22</v>
      </c>
      <c r="H6" s="4" t="s">
        <v>22</v>
      </c>
    </row>
    <row r="7" spans="2:10" x14ac:dyDescent="0.25">
      <c r="B7" s="3" t="s">
        <v>5</v>
      </c>
      <c r="C7" s="4" t="s">
        <v>21</v>
      </c>
      <c r="D7" s="4" t="s">
        <v>22</v>
      </c>
      <c r="E7" s="4" t="s">
        <v>28</v>
      </c>
      <c r="F7" s="4" t="s">
        <v>28</v>
      </c>
      <c r="G7" s="4" t="s">
        <v>28</v>
      </c>
      <c r="H7" s="4" t="s">
        <v>22</v>
      </c>
    </row>
    <row r="8" spans="2:10" x14ac:dyDescent="0.25">
      <c r="B8" s="3" t="s">
        <v>6</v>
      </c>
      <c r="C8" s="4" t="s">
        <v>22</v>
      </c>
      <c r="D8" s="4" t="s">
        <v>22</v>
      </c>
      <c r="E8" s="4" t="s">
        <v>22</v>
      </c>
      <c r="F8" s="4" t="s">
        <v>22</v>
      </c>
      <c r="G8" s="4" t="s">
        <v>22</v>
      </c>
      <c r="H8" s="4" t="s">
        <v>22</v>
      </c>
    </row>
    <row r="9" spans="2:10" x14ac:dyDescent="0.25">
      <c r="B9" s="3" t="s">
        <v>7</v>
      </c>
      <c r="C9" s="4" t="s">
        <v>22</v>
      </c>
      <c r="D9" s="4" t="s">
        <v>22</v>
      </c>
      <c r="E9" s="4" t="s">
        <v>22</v>
      </c>
      <c r="F9" s="4" t="s">
        <v>22</v>
      </c>
      <c r="G9" s="4" t="s">
        <v>22</v>
      </c>
      <c r="H9" s="4" t="s">
        <v>22</v>
      </c>
    </row>
    <row r="10" spans="2:10" x14ac:dyDescent="0.25">
      <c r="B10" s="3" t="s">
        <v>8</v>
      </c>
      <c r="C10" s="4" t="s">
        <v>22</v>
      </c>
      <c r="D10" s="4" t="s">
        <v>22</v>
      </c>
      <c r="E10" s="4" t="s">
        <v>28</v>
      </c>
      <c r="F10" s="4" t="s">
        <v>22</v>
      </c>
      <c r="G10" s="4" t="s">
        <v>22</v>
      </c>
      <c r="H10" s="4" t="s">
        <v>22</v>
      </c>
    </row>
    <row r="11" spans="2:10" x14ac:dyDescent="0.25">
      <c r="B11" s="3" t="s">
        <v>9</v>
      </c>
      <c r="C11" s="4" t="s">
        <v>22</v>
      </c>
      <c r="D11" s="4" t="s">
        <v>22</v>
      </c>
      <c r="E11" s="4" t="s">
        <v>28</v>
      </c>
      <c r="F11" s="4" t="s">
        <v>22</v>
      </c>
      <c r="G11" s="4" t="s">
        <v>22</v>
      </c>
      <c r="H11" s="4" t="s">
        <v>22</v>
      </c>
    </row>
    <row r="12" spans="2:10" x14ac:dyDescent="0.25">
      <c r="B12" s="3" t="s">
        <v>13</v>
      </c>
      <c r="C12" s="4" t="s">
        <v>21</v>
      </c>
      <c r="D12" s="4" t="s">
        <v>22</v>
      </c>
      <c r="E12" s="4" t="s">
        <v>28</v>
      </c>
      <c r="F12" s="4" t="s">
        <v>28</v>
      </c>
      <c r="G12" s="4" t="s">
        <v>28</v>
      </c>
      <c r="H12" s="4" t="s">
        <v>22</v>
      </c>
    </row>
    <row r="13" spans="2:10" x14ac:dyDescent="0.25">
      <c r="B13" s="3" t="s">
        <v>14</v>
      </c>
      <c r="C13" s="4" t="s">
        <v>22</v>
      </c>
      <c r="D13" s="4" t="s">
        <v>22</v>
      </c>
      <c r="E13" s="4" t="s">
        <v>28</v>
      </c>
      <c r="F13" s="4" t="s">
        <v>22</v>
      </c>
      <c r="G13" s="4" t="s">
        <v>22</v>
      </c>
      <c r="H13" s="4" t="s">
        <v>22</v>
      </c>
    </row>
    <row r="14" spans="2:10" x14ac:dyDescent="0.25">
      <c r="B14" s="3" t="s">
        <v>15</v>
      </c>
      <c r="C14" s="4" t="s">
        <v>22</v>
      </c>
      <c r="D14" s="4" t="s">
        <v>22</v>
      </c>
      <c r="E14" s="4" t="s">
        <v>22</v>
      </c>
      <c r="F14" s="4" t="s">
        <v>22</v>
      </c>
      <c r="G14" s="4" t="s">
        <v>22</v>
      </c>
      <c r="H14" s="4" t="s">
        <v>22</v>
      </c>
    </row>
    <row r="15" spans="2:10" x14ac:dyDescent="0.25">
      <c r="B15" s="3" t="s">
        <v>16</v>
      </c>
      <c r="C15" s="4" t="s">
        <v>28</v>
      </c>
      <c r="D15" s="4" t="s">
        <v>22</v>
      </c>
      <c r="E15" s="4" t="s">
        <v>28</v>
      </c>
      <c r="F15" s="4" t="s">
        <v>22</v>
      </c>
      <c r="G15" s="4" t="s">
        <v>22</v>
      </c>
      <c r="H15" s="4" t="s">
        <v>28</v>
      </c>
    </row>
    <row r="16" spans="2:10" x14ac:dyDescent="0.25">
      <c r="B16" s="3" t="s">
        <v>17</v>
      </c>
      <c r="C16" s="4" t="s">
        <v>28</v>
      </c>
      <c r="D16" s="4" t="s">
        <v>21</v>
      </c>
      <c r="E16" s="4" t="s">
        <v>28</v>
      </c>
      <c r="F16" s="4" t="s">
        <v>22</v>
      </c>
      <c r="G16" s="4" t="s">
        <v>28</v>
      </c>
      <c r="H16" s="4" t="s">
        <v>28</v>
      </c>
    </row>
    <row r="17" spans="2:8" x14ac:dyDescent="0.25">
      <c r="B17" s="3" t="s">
        <v>18</v>
      </c>
      <c r="C17" s="4" t="s">
        <v>22</v>
      </c>
      <c r="D17" s="4" t="s">
        <v>22</v>
      </c>
      <c r="E17" s="4" t="s">
        <v>22</v>
      </c>
      <c r="F17" s="4" t="s">
        <v>22</v>
      </c>
      <c r="G17" s="4" t="s">
        <v>22</v>
      </c>
      <c r="H17" s="4" t="s">
        <v>22</v>
      </c>
    </row>
    <row r="18" spans="2:8" ht="15.75" thickBot="1" x14ac:dyDescent="0.3">
      <c r="B18" s="6" t="s">
        <v>19</v>
      </c>
      <c r="C18" s="7" t="s">
        <v>22</v>
      </c>
      <c r="D18" s="7" t="s">
        <v>22</v>
      </c>
      <c r="E18" s="7" t="s">
        <v>28</v>
      </c>
      <c r="F18" s="7" t="s">
        <v>28</v>
      </c>
      <c r="G18" s="7" t="s">
        <v>28</v>
      </c>
      <c r="H18" s="7" t="s">
        <v>28</v>
      </c>
    </row>
    <row r="20" spans="2:8" ht="15.75" thickBot="1" x14ac:dyDescent="0.3"/>
    <row r="21" spans="2:8" x14ac:dyDescent="0.25">
      <c r="B21" s="12" t="s">
        <v>34</v>
      </c>
      <c r="C21" s="1" t="s">
        <v>32</v>
      </c>
      <c r="D21" s="2" t="s">
        <v>33</v>
      </c>
      <c r="E21" s="11" t="s">
        <v>34</v>
      </c>
    </row>
    <row r="22" spans="2:8" x14ac:dyDescent="0.25">
      <c r="B22" s="14" t="s">
        <v>31</v>
      </c>
      <c r="C22" s="9">
        <v>64.989999999999995</v>
      </c>
      <c r="D22" s="5" t="s">
        <v>35</v>
      </c>
      <c r="E22" s="11" t="s">
        <v>31</v>
      </c>
    </row>
    <row r="23" spans="2:8" x14ac:dyDescent="0.25">
      <c r="B23" s="14" t="s">
        <v>29</v>
      </c>
      <c r="C23" s="9">
        <v>20</v>
      </c>
      <c r="D23" s="5" t="s">
        <v>35</v>
      </c>
      <c r="E23" s="11" t="s">
        <v>29</v>
      </c>
    </row>
    <row r="24" spans="2:8" x14ac:dyDescent="0.25">
      <c r="B24" s="14" t="s">
        <v>24</v>
      </c>
      <c r="C24" s="9">
        <v>8.99</v>
      </c>
      <c r="D24" s="5" t="s">
        <v>35</v>
      </c>
      <c r="E24" s="11" t="s">
        <v>24</v>
      </c>
    </row>
    <row r="25" spans="2:8" x14ac:dyDescent="0.25">
      <c r="B25" s="14" t="s">
        <v>26</v>
      </c>
      <c r="C25" s="9">
        <v>7.99</v>
      </c>
      <c r="D25" s="5" t="s">
        <v>35</v>
      </c>
      <c r="E25" s="11" t="s">
        <v>26</v>
      </c>
    </row>
    <row r="26" spans="2:8" x14ac:dyDescent="0.25">
      <c r="B26" s="14" t="s">
        <v>27</v>
      </c>
      <c r="C26" s="9">
        <v>10.99</v>
      </c>
      <c r="D26" s="5" t="s">
        <v>35</v>
      </c>
      <c r="E26" s="11" t="s">
        <v>27</v>
      </c>
    </row>
    <row r="27" spans="2:8" x14ac:dyDescent="0.25">
      <c r="B27" s="14" t="s">
        <v>25</v>
      </c>
      <c r="C27" s="9">
        <v>38.99</v>
      </c>
      <c r="D27" s="5" t="s">
        <v>36</v>
      </c>
      <c r="E27" s="11" t="s">
        <v>25</v>
      </c>
    </row>
    <row r="28" spans="2:8" x14ac:dyDescent="0.25">
      <c r="B28" s="14" t="s">
        <v>11</v>
      </c>
      <c r="C28" s="9">
        <v>30</v>
      </c>
      <c r="D28" s="5" t="s">
        <v>35</v>
      </c>
      <c r="E28" s="11" t="s">
        <v>11</v>
      </c>
    </row>
    <row r="29" spans="2:8" x14ac:dyDescent="0.25">
      <c r="B29" s="14" t="s">
        <v>10</v>
      </c>
      <c r="C29" s="9">
        <v>8</v>
      </c>
      <c r="D29" s="5" t="s">
        <v>35</v>
      </c>
      <c r="E29" s="11" t="s">
        <v>10</v>
      </c>
    </row>
    <row r="30" spans="2:8" x14ac:dyDescent="0.25">
      <c r="B30" s="14" t="s">
        <v>12</v>
      </c>
      <c r="C30" s="9">
        <v>12</v>
      </c>
      <c r="D30" s="5" t="s">
        <v>35</v>
      </c>
      <c r="E30" s="11" t="s">
        <v>12</v>
      </c>
    </row>
    <row r="31" spans="2:8" ht="15.75" thickBot="1" x14ac:dyDescent="0.3">
      <c r="B31" s="15" t="s">
        <v>30</v>
      </c>
      <c r="C31" s="10">
        <v>19.989999999999998</v>
      </c>
      <c r="D31" s="8" t="s">
        <v>35</v>
      </c>
      <c r="E31" s="11" t="s">
        <v>30</v>
      </c>
    </row>
  </sheetData>
  <conditionalFormatting sqref="C3:H18">
    <cfRule type="containsText" dxfId="3" priority="1" operator="containsText" text="y">
      <formula>NOT(ISERROR(SEARCH("y",C3)))</formula>
    </cfRule>
    <cfRule type="containsText" dxfId="2" priority="2" operator="containsText" text="n">
      <formula>NOT(ISERROR(SEARCH("n",C3)))</formula>
    </cfRule>
    <cfRule type="containsText" dxfId="1" priority="3" operator="containsText" text="n">
      <formula>NOT(ISERROR(SEARCH("n",C3)))</formula>
    </cfRule>
    <cfRule type="containsText" dxfId="0" priority="4" operator="containsText" text="y">
      <formula>NOT(ISERROR(SEARCH("y",C3)))</formula>
    </cfRule>
  </conditionalFormatting>
  <dataValidations count="1">
    <dataValidation type="list" allowBlank="1" showInputMessage="1" showErrorMessage="1" sqref="J3 C3:H18">
      <formula1>$J$3:$J$4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15"/>
  <sheetViews>
    <sheetView workbookViewId="0"/>
  </sheetViews>
  <sheetFormatPr defaultRowHeight="15" x14ac:dyDescent="0.25"/>
  <sheetData>
    <row r="8" spans="1:2" x14ac:dyDescent="0.25">
      <c r="A8" s="38"/>
      <c r="B8" s="38"/>
    </row>
    <row r="15" spans="1:2" x14ac:dyDescent="0.25">
      <c r="B15" s="3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53</v>
      </c>
    </row>
    <row r="3" spans="1:2" x14ac:dyDescent="0.25">
      <c r="A3">
        <v>1</v>
      </c>
    </row>
    <row r="4" spans="1:2" x14ac:dyDescent="0.25">
      <c r="A4">
        <v>10</v>
      </c>
    </row>
    <row r="5" spans="1:2" x14ac:dyDescent="0.25">
      <c r="A5">
        <v>100</v>
      </c>
    </row>
    <row r="6" spans="1:2" x14ac:dyDescent="0.25">
      <c r="A6">
        <v>1</v>
      </c>
    </row>
    <row r="8" spans="1:2" x14ac:dyDescent="0.25">
      <c r="A8" s="38"/>
      <c r="B8" s="38"/>
    </row>
    <row r="9" spans="1:2" x14ac:dyDescent="0.25">
      <c r="A9" t="s">
        <v>54</v>
      </c>
    </row>
    <row r="10" spans="1:2" x14ac:dyDescent="0.25">
      <c r="A10" t="s">
        <v>57</v>
      </c>
    </row>
    <row r="15" spans="1:2" x14ac:dyDescent="0.25">
      <c r="B15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5"/>
  <sheetViews>
    <sheetView topLeftCell="J88" workbookViewId="0">
      <selection activeCell="M114" sqref="M114"/>
    </sheetView>
  </sheetViews>
  <sheetFormatPr defaultRowHeight="15" x14ac:dyDescent="0.25"/>
  <sheetData>
    <row r="1" spans="1:11" x14ac:dyDescent="0.25">
      <c r="A1" s="39" t="s">
        <v>55</v>
      </c>
      <c r="K1" s="43" t="str">
        <f>CONCATENATE("Sensitivity of ",$K$4," to ","Budget")</f>
        <v>Sensitivity of $L$25 to Budget</v>
      </c>
    </row>
    <row r="3" spans="1:11" x14ac:dyDescent="0.25">
      <c r="A3" t="s">
        <v>58</v>
      </c>
      <c r="K3" t="s">
        <v>56</v>
      </c>
    </row>
    <row r="4" spans="1:11" ht="30.75" x14ac:dyDescent="0.25">
      <c r="B4" s="41" t="s">
        <v>54</v>
      </c>
      <c r="J4" s="43">
        <f>MATCH($K$4,OutputAddresses,0)</f>
        <v>1</v>
      </c>
      <c r="K4" s="42" t="s">
        <v>54</v>
      </c>
    </row>
    <row r="5" spans="1:11" x14ac:dyDescent="0.25">
      <c r="A5" s="40">
        <v>10</v>
      </c>
      <c r="B5" s="44">
        <v>0</v>
      </c>
      <c r="K5">
        <f>INDEX(OutputValues,1,$J$4)</f>
        <v>0</v>
      </c>
    </row>
    <row r="6" spans="1:11" x14ac:dyDescent="0.25">
      <c r="A6" s="40">
        <v>11</v>
      </c>
      <c r="B6" s="45">
        <v>0</v>
      </c>
      <c r="K6">
        <f>INDEX(OutputValues,2,$J$4)</f>
        <v>0</v>
      </c>
    </row>
    <row r="7" spans="1:11" x14ac:dyDescent="0.25">
      <c r="A7" s="40">
        <v>12</v>
      </c>
      <c r="B7" s="45">
        <v>0</v>
      </c>
      <c r="K7">
        <f>INDEX(OutputValues,3,$J$4)</f>
        <v>0</v>
      </c>
    </row>
    <row r="8" spans="1:11" x14ac:dyDescent="0.25">
      <c r="A8" s="40">
        <v>13</v>
      </c>
      <c r="B8" s="45">
        <v>0</v>
      </c>
      <c r="K8">
        <f>INDEX(OutputValues,4,$J$4)</f>
        <v>0</v>
      </c>
    </row>
    <row r="9" spans="1:11" x14ac:dyDescent="0.25">
      <c r="A9" s="40">
        <v>14</v>
      </c>
      <c r="B9" s="45">
        <v>0</v>
      </c>
      <c r="K9">
        <f>INDEX(OutputValues,5,$J$4)</f>
        <v>0</v>
      </c>
    </row>
    <row r="10" spans="1:11" x14ac:dyDescent="0.25">
      <c r="A10" s="40">
        <v>15</v>
      </c>
      <c r="B10" s="45">
        <v>0</v>
      </c>
      <c r="K10">
        <f>INDEX(OutputValues,6,$J$4)</f>
        <v>0</v>
      </c>
    </row>
    <row r="11" spans="1:11" x14ac:dyDescent="0.25">
      <c r="A11" s="40">
        <v>16</v>
      </c>
      <c r="B11" s="45">
        <v>0</v>
      </c>
      <c r="K11">
        <f>INDEX(OutputValues,7,$J$4)</f>
        <v>0</v>
      </c>
    </row>
    <row r="12" spans="1:11" x14ac:dyDescent="0.25">
      <c r="A12" s="40">
        <v>17</v>
      </c>
      <c r="B12" s="45">
        <v>0</v>
      </c>
      <c r="K12">
        <f>INDEX(OutputValues,8,$J$4)</f>
        <v>0</v>
      </c>
    </row>
    <row r="13" spans="1:11" x14ac:dyDescent="0.25">
      <c r="A13" s="40">
        <v>18</v>
      </c>
      <c r="B13" s="45">
        <v>0</v>
      </c>
      <c r="K13">
        <f>INDEX(OutputValues,9,$J$4)</f>
        <v>0</v>
      </c>
    </row>
    <row r="14" spans="1:11" x14ac:dyDescent="0.25">
      <c r="A14" s="40">
        <v>19</v>
      </c>
      <c r="B14" s="45">
        <v>0</v>
      </c>
      <c r="K14">
        <f>INDEX(OutputValues,10,$J$4)</f>
        <v>0</v>
      </c>
    </row>
    <row r="15" spans="1:11" x14ac:dyDescent="0.25">
      <c r="A15" s="40">
        <v>20</v>
      </c>
      <c r="B15" s="45">
        <v>0</v>
      </c>
      <c r="K15">
        <f>INDEX(OutputValues,11,$J$4)</f>
        <v>0</v>
      </c>
    </row>
    <row r="16" spans="1:11" x14ac:dyDescent="0.25">
      <c r="A16" s="40">
        <v>21</v>
      </c>
      <c r="B16" s="45">
        <v>0</v>
      </c>
      <c r="K16">
        <f>INDEX(OutputValues,12,$J$4)</f>
        <v>0</v>
      </c>
    </row>
    <row r="17" spans="1:11" x14ac:dyDescent="0.25">
      <c r="A17" s="40">
        <v>22</v>
      </c>
      <c r="B17" s="45">
        <v>0</v>
      </c>
      <c r="K17">
        <f>INDEX(OutputValues,13,$J$4)</f>
        <v>0</v>
      </c>
    </row>
    <row r="18" spans="1:11" x14ac:dyDescent="0.25">
      <c r="A18" s="40">
        <v>23</v>
      </c>
      <c r="B18" s="45">
        <v>0</v>
      </c>
      <c r="K18">
        <f>INDEX(OutputValues,14,$J$4)</f>
        <v>0</v>
      </c>
    </row>
    <row r="19" spans="1:11" x14ac:dyDescent="0.25">
      <c r="A19" s="40">
        <v>24</v>
      </c>
      <c r="B19" s="45">
        <v>0</v>
      </c>
      <c r="K19">
        <f>INDEX(OutputValues,15,$J$4)</f>
        <v>0</v>
      </c>
    </row>
    <row r="20" spans="1:11" x14ac:dyDescent="0.25">
      <c r="A20" s="40">
        <v>25</v>
      </c>
      <c r="B20" s="45">
        <v>0</v>
      </c>
      <c r="K20">
        <f>INDEX(OutputValues,16,$J$4)</f>
        <v>0</v>
      </c>
    </row>
    <row r="21" spans="1:11" x14ac:dyDescent="0.25">
      <c r="A21" s="40">
        <v>26</v>
      </c>
      <c r="B21" s="45">
        <v>0</v>
      </c>
      <c r="K21">
        <f>INDEX(OutputValues,17,$J$4)</f>
        <v>0</v>
      </c>
    </row>
    <row r="22" spans="1:11" x14ac:dyDescent="0.25">
      <c r="A22" s="40">
        <v>27</v>
      </c>
      <c r="B22" s="45">
        <v>0</v>
      </c>
      <c r="K22">
        <f>INDEX(OutputValues,18,$J$4)</f>
        <v>0</v>
      </c>
    </row>
    <row r="23" spans="1:11" x14ac:dyDescent="0.25">
      <c r="A23" s="40">
        <v>28</v>
      </c>
      <c r="B23" s="45">
        <v>43</v>
      </c>
      <c r="K23">
        <f>INDEX(OutputValues,19,$J$4)</f>
        <v>43</v>
      </c>
    </row>
    <row r="24" spans="1:11" x14ac:dyDescent="0.25">
      <c r="A24" s="40">
        <v>29</v>
      </c>
      <c r="B24" s="45">
        <v>43</v>
      </c>
      <c r="K24">
        <f>INDEX(OutputValues,20,$J$4)</f>
        <v>43</v>
      </c>
    </row>
    <row r="25" spans="1:11" x14ac:dyDescent="0.25">
      <c r="A25" s="40">
        <v>30</v>
      </c>
      <c r="B25" s="45">
        <v>43</v>
      </c>
      <c r="K25">
        <f>INDEX(OutputValues,21,$J$4)</f>
        <v>43</v>
      </c>
    </row>
    <row r="26" spans="1:11" x14ac:dyDescent="0.25">
      <c r="A26" s="40">
        <v>31</v>
      </c>
      <c r="B26" s="45">
        <v>43</v>
      </c>
      <c r="K26">
        <f>INDEX(OutputValues,22,$J$4)</f>
        <v>43</v>
      </c>
    </row>
    <row r="27" spans="1:11" x14ac:dyDescent="0.25">
      <c r="A27" s="40">
        <v>32</v>
      </c>
      <c r="B27" s="45">
        <v>43</v>
      </c>
      <c r="K27">
        <f>INDEX(OutputValues,23,$J$4)</f>
        <v>43</v>
      </c>
    </row>
    <row r="28" spans="1:11" x14ac:dyDescent="0.25">
      <c r="A28" s="40">
        <v>33</v>
      </c>
      <c r="B28" s="45">
        <v>43</v>
      </c>
      <c r="K28">
        <f>INDEX(OutputValues,24,$J$4)</f>
        <v>43</v>
      </c>
    </row>
    <row r="29" spans="1:11" x14ac:dyDescent="0.25">
      <c r="A29" s="40">
        <v>34</v>
      </c>
      <c r="B29" s="45">
        <v>43</v>
      </c>
      <c r="K29">
        <f>INDEX(OutputValues,25,$J$4)</f>
        <v>43</v>
      </c>
    </row>
    <row r="30" spans="1:11" x14ac:dyDescent="0.25">
      <c r="A30" s="40">
        <v>35</v>
      </c>
      <c r="B30" s="45">
        <v>43</v>
      </c>
      <c r="K30">
        <f>INDEX(OutputValues,26,$J$4)</f>
        <v>43</v>
      </c>
    </row>
    <row r="31" spans="1:11" x14ac:dyDescent="0.25">
      <c r="A31" s="40">
        <v>36</v>
      </c>
      <c r="B31" s="45">
        <v>43</v>
      </c>
      <c r="K31">
        <f>INDEX(OutputValues,27,$J$4)</f>
        <v>43</v>
      </c>
    </row>
    <row r="32" spans="1:11" x14ac:dyDescent="0.25">
      <c r="A32" s="40">
        <v>37</v>
      </c>
      <c r="B32" s="45">
        <v>43</v>
      </c>
      <c r="K32">
        <f>INDEX(OutputValues,28,$J$4)</f>
        <v>43</v>
      </c>
    </row>
    <row r="33" spans="1:11" x14ac:dyDescent="0.25">
      <c r="A33" s="40">
        <v>38</v>
      </c>
      <c r="B33" s="45">
        <v>53</v>
      </c>
      <c r="K33">
        <f>INDEX(OutputValues,29,$J$4)</f>
        <v>53</v>
      </c>
    </row>
    <row r="34" spans="1:11" x14ac:dyDescent="0.25">
      <c r="A34" s="40">
        <v>39</v>
      </c>
      <c r="B34" s="45">
        <v>53</v>
      </c>
      <c r="K34">
        <f>INDEX(OutputValues,30,$J$4)</f>
        <v>53</v>
      </c>
    </row>
    <row r="35" spans="1:11" x14ac:dyDescent="0.25">
      <c r="A35" s="40">
        <v>40</v>
      </c>
      <c r="B35" s="45">
        <v>53</v>
      </c>
      <c r="K35">
        <f>INDEX(OutputValues,31,$J$4)</f>
        <v>53</v>
      </c>
    </row>
    <row r="36" spans="1:11" x14ac:dyDescent="0.25">
      <c r="A36" s="40">
        <v>41</v>
      </c>
      <c r="B36" s="45">
        <v>53</v>
      </c>
      <c r="K36">
        <f>INDEX(OutputValues,32,$J$4)</f>
        <v>53</v>
      </c>
    </row>
    <row r="37" spans="1:11" x14ac:dyDescent="0.25">
      <c r="A37" s="40">
        <v>42</v>
      </c>
      <c r="B37" s="45">
        <v>53</v>
      </c>
      <c r="K37">
        <f>INDEX(OutputValues,33,$J$4)</f>
        <v>53</v>
      </c>
    </row>
    <row r="38" spans="1:11" x14ac:dyDescent="0.25">
      <c r="A38" s="40">
        <v>43</v>
      </c>
      <c r="B38" s="45">
        <v>53</v>
      </c>
      <c r="K38">
        <f>INDEX(OutputValues,34,$J$4)</f>
        <v>53</v>
      </c>
    </row>
    <row r="39" spans="1:11" x14ac:dyDescent="0.25">
      <c r="A39" s="40">
        <v>44</v>
      </c>
      <c r="B39" s="45">
        <v>53</v>
      </c>
      <c r="K39">
        <f>INDEX(OutputValues,35,$J$4)</f>
        <v>53</v>
      </c>
    </row>
    <row r="40" spans="1:11" x14ac:dyDescent="0.25">
      <c r="A40" s="40">
        <v>45</v>
      </c>
      <c r="B40" s="45">
        <v>53</v>
      </c>
      <c r="K40">
        <f>INDEX(OutputValues,36,$J$4)</f>
        <v>53</v>
      </c>
    </row>
    <row r="41" spans="1:11" x14ac:dyDescent="0.25">
      <c r="A41" s="40">
        <v>46</v>
      </c>
      <c r="B41" s="45">
        <v>53</v>
      </c>
      <c r="K41">
        <f>INDEX(OutputValues,37,$J$4)</f>
        <v>53</v>
      </c>
    </row>
    <row r="42" spans="1:11" x14ac:dyDescent="0.25">
      <c r="A42" s="40">
        <v>47</v>
      </c>
      <c r="B42" s="45">
        <v>53</v>
      </c>
      <c r="K42">
        <f>INDEX(OutputValues,38,$J$4)</f>
        <v>53</v>
      </c>
    </row>
    <row r="43" spans="1:11" x14ac:dyDescent="0.25">
      <c r="A43" s="40">
        <v>48</v>
      </c>
      <c r="B43" s="45">
        <v>53</v>
      </c>
      <c r="K43">
        <f>INDEX(OutputValues,39,$J$4)</f>
        <v>53</v>
      </c>
    </row>
    <row r="44" spans="1:11" x14ac:dyDescent="0.25">
      <c r="A44" s="40">
        <v>49</v>
      </c>
      <c r="B44" s="45">
        <v>53</v>
      </c>
      <c r="K44">
        <f>INDEX(OutputValues,40,$J$4)</f>
        <v>53</v>
      </c>
    </row>
    <row r="45" spans="1:11" x14ac:dyDescent="0.25">
      <c r="A45" s="40">
        <v>50</v>
      </c>
      <c r="B45" s="45">
        <v>53</v>
      </c>
      <c r="K45">
        <f>INDEX(OutputValues,41,$J$4)</f>
        <v>53</v>
      </c>
    </row>
    <row r="46" spans="1:11" x14ac:dyDescent="0.25">
      <c r="A46" s="40">
        <v>51</v>
      </c>
      <c r="B46" s="45">
        <v>53</v>
      </c>
      <c r="K46">
        <f>INDEX(OutputValues,42,$J$4)</f>
        <v>53</v>
      </c>
    </row>
    <row r="47" spans="1:11" x14ac:dyDescent="0.25">
      <c r="A47" s="40">
        <v>52</v>
      </c>
      <c r="B47" s="45">
        <v>53</v>
      </c>
      <c r="K47">
        <f>INDEX(OutputValues,43,$J$4)</f>
        <v>53</v>
      </c>
    </row>
    <row r="48" spans="1:11" x14ac:dyDescent="0.25">
      <c r="A48" s="40">
        <v>53</v>
      </c>
      <c r="B48" s="45">
        <v>53</v>
      </c>
      <c r="K48">
        <f>INDEX(OutputValues,44,$J$4)</f>
        <v>53</v>
      </c>
    </row>
    <row r="49" spans="1:11" x14ac:dyDescent="0.25">
      <c r="A49" s="40">
        <v>54</v>
      </c>
      <c r="B49" s="45">
        <v>53</v>
      </c>
      <c r="K49">
        <f>INDEX(OutputValues,45,$J$4)</f>
        <v>53</v>
      </c>
    </row>
    <row r="50" spans="1:11" x14ac:dyDescent="0.25">
      <c r="A50" s="40">
        <v>55</v>
      </c>
      <c r="B50" s="45">
        <v>53</v>
      </c>
      <c r="K50">
        <f>INDEX(OutputValues,46,$J$4)</f>
        <v>53</v>
      </c>
    </row>
    <row r="51" spans="1:11" x14ac:dyDescent="0.25">
      <c r="A51" s="40">
        <v>56</v>
      </c>
      <c r="B51" s="45">
        <v>53</v>
      </c>
      <c r="K51">
        <f>INDEX(OutputValues,47,$J$4)</f>
        <v>53</v>
      </c>
    </row>
    <row r="52" spans="1:11" x14ac:dyDescent="0.25">
      <c r="A52" s="40">
        <v>57</v>
      </c>
      <c r="B52" s="45">
        <v>53</v>
      </c>
      <c r="K52">
        <f>INDEX(OutputValues,48,$J$4)</f>
        <v>53</v>
      </c>
    </row>
    <row r="53" spans="1:11" x14ac:dyDescent="0.25">
      <c r="A53" s="40">
        <v>58</v>
      </c>
      <c r="B53" s="45">
        <v>53</v>
      </c>
      <c r="K53">
        <f>INDEX(OutputValues,49,$J$4)</f>
        <v>53</v>
      </c>
    </row>
    <row r="54" spans="1:11" x14ac:dyDescent="0.25">
      <c r="A54" s="40">
        <v>59</v>
      </c>
      <c r="B54" s="45">
        <v>53</v>
      </c>
      <c r="K54">
        <f>INDEX(OutputValues,50,$J$4)</f>
        <v>53</v>
      </c>
    </row>
    <row r="55" spans="1:11" x14ac:dyDescent="0.25">
      <c r="A55" s="40">
        <v>60</v>
      </c>
      <c r="B55" s="45">
        <v>53</v>
      </c>
      <c r="K55">
        <f>INDEX(OutputValues,51,$J$4)</f>
        <v>53</v>
      </c>
    </row>
    <row r="56" spans="1:11" x14ac:dyDescent="0.25">
      <c r="A56" s="40">
        <v>61</v>
      </c>
      <c r="B56" s="45">
        <v>53</v>
      </c>
      <c r="K56">
        <f>INDEX(OutputValues,52,$J$4)</f>
        <v>53</v>
      </c>
    </row>
    <row r="57" spans="1:11" x14ac:dyDescent="0.25">
      <c r="A57" s="40">
        <v>62</v>
      </c>
      <c r="B57" s="45">
        <v>53</v>
      </c>
      <c r="K57">
        <f>INDEX(OutputValues,53,$J$4)</f>
        <v>53</v>
      </c>
    </row>
    <row r="58" spans="1:11" x14ac:dyDescent="0.25">
      <c r="A58" s="40">
        <v>63</v>
      </c>
      <c r="B58" s="45">
        <v>53</v>
      </c>
      <c r="K58">
        <f>INDEX(OutputValues,54,$J$4)</f>
        <v>53</v>
      </c>
    </row>
    <row r="59" spans="1:11" x14ac:dyDescent="0.25">
      <c r="A59" s="40">
        <v>64</v>
      </c>
      <c r="B59" s="45">
        <v>53</v>
      </c>
      <c r="K59">
        <f>INDEX(OutputValues,55,$J$4)</f>
        <v>53</v>
      </c>
    </row>
    <row r="60" spans="1:11" x14ac:dyDescent="0.25">
      <c r="A60" s="40">
        <v>65</v>
      </c>
      <c r="B60" s="45">
        <v>53</v>
      </c>
      <c r="K60">
        <f>INDEX(OutputValues,56,$J$4)</f>
        <v>53</v>
      </c>
    </row>
    <row r="61" spans="1:11" x14ac:dyDescent="0.25">
      <c r="A61" s="40">
        <v>66</v>
      </c>
      <c r="B61" s="45">
        <v>53</v>
      </c>
      <c r="K61">
        <f>INDEX(OutputValues,57,$J$4)</f>
        <v>53</v>
      </c>
    </row>
    <row r="62" spans="1:11" x14ac:dyDescent="0.25">
      <c r="A62" s="40">
        <v>67</v>
      </c>
      <c r="B62" s="45">
        <v>53</v>
      </c>
      <c r="K62">
        <f>INDEX(OutputValues,58,$J$4)</f>
        <v>53</v>
      </c>
    </row>
    <row r="63" spans="1:11" x14ac:dyDescent="0.25">
      <c r="A63" s="40">
        <v>68</v>
      </c>
      <c r="B63" s="45">
        <v>53</v>
      </c>
      <c r="K63">
        <f>INDEX(OutputValues,59,$J$4)</f>
        <v>53</v>
      </c>
    </row>
    <row r="64" spans="1:11" x14ac:dyDescent="0.25">
      <c r="A64" s="40">
        <v>69</v>
      </c>
      <c r="B64" s="45">
        <v>53</v>
      </c>
      <c r="K64">
        <f>INDEX(OutputValues,60,$J$4)</f>
        <v>53</v>
      </c>
    </row>
    <row r="65" spans="1:11" x14ac:dyDescent="0.25">
      <c r="A65" s="40">
        <v>70</v>
      </c>
      <c r="B65" s="45">
        <v>53</v>
      </c>
      <c r="K65">
        <f>INDEX(OutputValues,61,$J$4)</f>
        <v>53</v>
      </c>
    </row>
    <row r="66" spans="1:11" x14ac:dyDescent="0.25">
      <c r="A66" s="40">
        <v>71</v>
      </c>
      <c r="B66" s="45">
        <v>53</v>
      </c>
      <c r="K66">
        <f>INDEX(OutputValues,62,$J$4)</f>
        <v>53</v>
      </c>
    </row>
    <row r="67" spans="1:11" x14ac:dyDescent="0.25">
      <c r="A67" s="40">
        <v>72</v>
      </c>
      <c r="B67" s="45">
        <v>53</v>
      </c>
      <c r="K67">
        <f>INDEX(OutputValues,63,$J$4)</f>
        <v>53</v>
      </c>
    </row>
    <row r="68" spans="1:11" x14ac:dyDescent="0.25">
      <c r="A68" s="40">
        <v>73</v>
      </c>
      <c r="B68" s="45">
        <v>53</v>
      </c>
      <c r="K68">
        <f>INDEX(OutputValues,64,$J$4)</f>
        <v>53</v>
      </c>
    </row>
    <row r="69" spans="1:11" x14ac:dyDescent="0.25">
      <c r="A69" s="40">
        <v>74</v>
      </c>
      <c r="B69" s="45">
        <v>53</v>
      </c>
      <c r="K69">
        <f>INDEX(OutputValues,65,$J$4)</f>
        <v>53</v>
      </c>
    </row>
    <row r="70" spans="1:11" x14ac:dyDescent="0.25">
      <c r="A70" s="40">
        <v>75</v>
      </c>
      <c r="B70" s="45">
        <v>53</v>
      </c>
      <c r="K70">
        <f>INDEX(OutputValues,66,$J$4)</f>
        <v>53</v>
      </c>
    </row>
    <row r="71" spans="1:11" x14ac:dyDescent="0.25">
      <c r="A71" s="40">
        <v>76</v>
      </c>
      <c r="B71" s="45">
        <v>53</v>
      </c>
      <c r="K71">
        <f>INDEX(OutputValues,67,$J$4)</f>
        <v>53</v>
      </c>
    </row>
    <row r="72" spans="1:11" x14ac:dyDescent="0.25">
      <c r="A72" s="40">
        <v>77</v>
      </c>
      <c r="B72" s="45">
        <v>53</v>
      </c>
      <c r="K72">
        <f>INDEX(OutputValues,68,$J$4)</f>
        <v>53</v>
      </c>
    </row>
    <row r="73" spans="1:11" x14ac:dyDescent="0.25">
      <c r="A73" s="40">
        <v>78</v>
      </c>
      <c r="B73" s="45">
        <v>53</v>
      </c>
      <c r="K73">
        <f>INDEX(OutputValues,69,$J$4)</f>
        <v>53</v>
      </c>
    </row>
    <row r="74" spans="1:11" x14ac:dyDescent="0.25">
      <c r="A74" s="40">
        <v>79</v>
      </c>
      <c r="B74" s="45">
        <v>53</v>
      </c>
      <c r="K74">
        <f>INDEX(OutputValues,70,$J$4)</f>
        <v>53</v>
      </c>
    </row>
    <row r="75" spans="1:11" x14ac:dyDescent="0.25">
      <c r="A75" s="40">
        <v>80</v>
      </c>
      <c r="B75" s="45">
        <v>53</v>
      </c>
      <c r="K75">
        <f>INDEX(OutputValues,71,$J$4)</f>
        <v>53</v>
      </c>
    </row>
    <row r="76" spans="1:11" x14ac:dyDescent="0.25">
      <c r="A76" s="40">
        <v>81</v>
      </c>
      <c r="B76" s="45">
        <v>53</v>
      </c>
      <c r="K76">
        <f>INDEX(OutputValues,72,$J$4)</f>
        <v>53</v>
      </c>
    </row>
    <row r="77" spans="1:11" x14ac:dyDescent="0.25">
      <c r="A77" s="40">
        <v>82</v>
      </c>
      <c r="B77" s="45">
        <v>53</v>
      </c>
      <c r="K77">
        <f>INDEX(OutputValues,73,$J$4)</f>
        <v>53</v>
      </c>
    </row>
    <row r="78" spans="1:11" x14ac:dyDescent="0.25">
      <c r="A78" s="40">
        <v>83</v>
      </c>
      <c r="B78" s="45">
        <v>53</v>
      </c>
      <c r="K78">
        <f>INDEX(OutputValues,74,$J$4)</f>
        <v>53</v>
      </c>
    </row>
    <row r="79" spans="1:11" x14ac:dyDescent="0.25">
      <c r="A79" s="40">
        <v>84</v>
      </c>
      <c r="B79" s="45">
        <v>53</v>
      </c>
      <c r="K79">
        <f>INDEX(OutputValues,75,$J$4)</f>
        <v>53</v>
      </c>
    </row>
    <row r="80" spans="1:11" x14ac:dyDescent="0.25">
      <c r="A80" s="40">
        <v>85</v>
      </c>
      <c r="B80" s="45">
        <v>55</v>
      </c>
      <c r="K80">
        <f>INDEX(OutputValues,76,$J$4)</f>
        <v>55</v>
      </c>
    </row>
    <row r="81" spans="1:11" x14ac:dyDescent="0.25">
      <c r="A81" s="40">
        <v>86</v>
      </c>
      <c r="B81" s="45">
        <v>55</v>
      </c>
      <c r="K81">
        <f>INDEX(OutputValues,77,$J$4)</f>
        <v>55</v>
      </c>
    </row>
    <row r="82" spans="1:11" x14ac:dyDescent="0.25">
      <c r="A82" s="40">
        <v>87</v>
      </c>
      <c r="B82" s="45">
        <v>55</v>
      </c>
      <c r="K82">
        <f>INDEX(OutputValues,78,$J$4)</f>
        <v>55</v>
      </c>
    </row>
    <row r="83" spans="1:11" x14ac:dyDescent="0.25">
      <c r="A83" s="40">
        <v>88</v>
      </c>
      <c r="B83" s="45">
        <v>55</v>
      </c>
      <c r="K83">
        <f>INDEX(OutputValues,79,$J$4)</f>
        <v>55</v>
      </c>
    </row>
    <row r="84" spans="1:11" x14ac:dyDescent="0.25">
      <c r="A84" s="40">
        <v>89</v>
      </c>
      <c r="B84" s="45">
        <v>55</v>
      </c>
      <c r="K84">
        <f>INDEX(OutputValues,80,$J$4)</f>
        <v>55</v>
      </c>
    </row>
    <row r="85" spans="1:11" x14ac:dyDescent="0.25">
      <c r="A85" s="40">
        <v>90</v>
      </c>
      <c r="B85" s="45">
        <v>55</v>
      </c>
      <c r="K85">
        <f>INDEX(OutputValues,81,$J$4)</f>
        <v>55</v>
      </c>
    </row>
    <row r="86" spans="1:11" x14ac:dyDescent="0.25">
      <c r="A86" s="40">
        <v>91</v>
      </c>
      <c r="B86" s="45">
        <v>55</v>
      </c>
      <c r="K86">
        <f>INDEX(OutputValues,82,$J$4)</f>
        <v>55</v>
      </c>
    </row>
    <row r="87" spans="1:11" x14ac:dyDescent="0.25">
      <c r="A87" s="40">
        <v>92</v>
      </c>
      <c r="B87" s="45">
        <v>55</v>
      </c>
      <c r="K87">
        <f>INDEX(OutputValues,83,$J$4)</f>
        <v>55</v>
      </c>
    </row>
    <row r="88" spans="1:11" x14ac:dyDescent="0.25">
      <c r="A88" s="40">
        <v>93</v>
      </c>
      <c r="B88" s="45">
        <v>55</v>
      </c>
      <c r="K88">
        <f>INDEX(OutputValues,84,$J$4)</f>
        <v>55</v>
      </c>
    </row>
    <row r="89" spans="1:11" x14ac:dyDescent="0.25">
      <c r="A89" s="40">
        <v>94</v>
      </c>
      <c r="B89" s="45">
        <v>55</v>
      </c>
      <c r="K89">
        <f>INDEX(OutputValues,85,$J$4)</f>
        <v>55</v>
      </c>
    </row>
    <row r="90" spans="1:11" x14ac:dyDescent="0.25">
      <c r="A90" s="40">
        <v>95</v>
      </c>
      <c r="B90" s="45">
        <v>55</v>
      </c>
      <c r="K90">
        <f>INDEX(OutputValues,86,$J$4)</f>
        <v>55</v>
      </c>
    </row>
    <row r="91" spans="1:11" x14ac:dyDescent="0.25">
      <c r="A91" s="40">
        <v>96</v>
      </c>
      <c r="B91" s="45">
        <v>55</v>
      </c>
      <c r="K91">
        <f>INDEX(OutputValues,87,$J$4)</f>
        <v>55</v>
      </c>
    </row>
    <row r="92" spans="1:11" x14ac:dyDescent="0.25">
      <c r="A92" s="40">
        <v>97</v>
      </c>
      <c r="B92" s="45">
        <v>55</v>
      </c>
      <c r="K92">
        <f>INDEX(OutputValues,88,$J$4)</f>
        <v>55</v>
      </c>
    </row>
    <row r="93" spans="1:11" x14ac:dyDescent="0.25">
      <c r="A93" s="40">
        <v>98</v>
      </c>
      <c r="B93" s="45">
        <v>55</v>
      </c>
      <c r="K93">
        <f>INDEX(OutputValues,89,$J$4)</f>
        <v>55</v>
      </c>
    </row>
    <row r="94" spans="1:11" x14ac:dyDescent="0.25">
      <c r="A94" s="40">
        <v>99</v>
      </c>
      <c r="B94" s="45">
        <v>55</v>
      </c>
      <c r="K94">
        <f>INDEX(OutputValues,90,$J$4)</f>
        <v>55</v>
      </c>
    </row>
    <row r="95" spans="1:11" x14ac:dyDescent="0.25">
      <c r="A95" s="40">
        <v>100</v>
      </c>
      <c r="B95" s="46">
        <v>55</v>
      </c>
      <c r="K95">
        <f>INDEX(OutputValues,91,$J$4)</f>
        <v>55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Simple Model w-iTunes</vt:lpstr>
      <vt:lpstr>Data</vt:lpstr>
      <vt:lpstr>STS_1</vt:lpstr>
      <vt:lpstr>STS_1!ChartData</vt:lpstr>
      <vt:lpstr>STS_1!InputValues</vt:lpstr>
      <vt:lpstr>STS_1!OutputAddresses</vt:lpstr>
      <vt:lpstr>STS_1!OutputValues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Trott</dc:creator>
  <cp:lastModifiedBy>Joshua Trott</cp:lastModifiedBy>
  <dcterms:created xsi:type="dcterms:W3CDTF">2013-05-29T14:19:35Z</dcterms:created>
  <dcterms:modified xsi:type="dcterms:W3CDTF">2013-12-12T15:19:07Z</dcterms:modified>
</cp:coreProperties>
</file>